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G5">
      <text>
        <t xml:space="preserve">Estimated</t>
      </text>
    </comment>
    <comment authorId="0" ref="G8">
      <text>
        <t xml:space="preserve">Estimated</t>
      </text>
    </comment>
    <comment authorId="0" ref="G12">
      <text>
        <t xml:space="preserve">Estimated</t>
      </text>
    </comment>
    <comment authorId="0" ref="G14">
      <text>
        <t xml:space="preserve">Estimated for 2.0 aya - single test solo took slightly longer</t>
      </text>
    </comment>
    <comment authorId="0" ref="G15">
      <text>
        <t xml:space="preserve">Estimated (efficient squad)</t>
      </text>
    </comment>
    <comment authorId="0" ref="M21">
      <text>
        <t xml:space="preserve">Identifying lens to determine rotation</t>
      </text>
    </comment>
    <comment authorId="0" ref="G27">
      <text>
        <t xml:space="preserve">Not actually timed - no point</t>
      </text>
    </comment>
    <comment authorId="0" ref="G39">
      <text>
        <t xml:space="preserve">Not actually timed - no point</t>
      </text>
    </comment>
    <comment authorId="0" ref="G44">
      <text>
        <t xml:space="preserve">3 round (AAA)</t>
      </text>
    </comment>
    <comment authorId="0" ref="G45">
      <text>
        <t xml:space="preserve">9 round (AAA AAA BBB)</t>
      </text>
    </comment>
    <comment authorId="0" ref="G46">
      <text>
        <t xml:space="preserve">12 round (AAA AAA BBB CCC)</t>
      </text>
    </comment>
    <comment authorId="0" ref="G49">
      <text>
        <t xml:space="preserve">Not actually timed - no point</t>
      </text>
    </comment>
  </commentList>
</comments>
</file>

<file path=xl/sharedStrings.xml><?xml version="1.0" encoding="utf-8"?>
<sst xmlns="http://schemas.openxmlformats.org/spreadsheetml/2006/main" count="149" uniqueCount="95">
  <si>
    <t>Void</t>
  </si>
  <si>
    <t>A</t>
  </si>
  <si>
    <t>B</t>
  </si>
  <si>
    <t>C</t>
  </si>
  <si>
    <t>Time (s) (one rotation)</t>
  </si>
  <si>
    <t>Aya per hour</t>
  </si>
  <si>
    <t>Teshub</t>
  </si>
  <si>
    <t>Exterminate</t>
  </si>
  <si>
    <t>Hepit</t>
  </si>
  <si>
    <t>Capture</t>
  </si>
  <si>
    <t>Taranis</t>
  </si>
  <si>
    <t>Defense</t>
  </si>
  <si>
    <t>Tiwaz</t>
  </si>
  <si>
    <t>Mobile Defense</t>
  </si>
  <si>
    <t>DOESN'T MATTER</t>
  </si>
  <si>
    <t>Stribog</t>
  </si>
  <si>
    <t>Sabotage</t>
  </si>
  <si>
    <t>Ani</t>
  </si>
  <si>
    <t>Survival</t>
  </si>
  <si>
    <t>Ukko</t>
  </si>
  <si>
    <t>Oxomoco</t>
  </si>
  <si>
    <t>Belenus</t>
  </si>
  <si>
    <t>Mot</t>
  </si>
  <si>
    <t>Aten</t>
  </si>
  <si>
    <t>Marduk</t>
  </si>
  <si>
    <t>Mithra</t>
  </si>
  <si>
    <t>Interception</t>
  </si>
  <si>
    <t>Bounties</t>
  </si>
  <si>
    <t>Plains</t>
  </si>
  <si>
    <t>Stage 1</t>
  </si>
  <si>
    <t>Stage 2</t>
  </si>
  <si>
    <t>Stage 3</t>
  </si>
  <si>
    <t>Stage 4</t>
  </si>
  <si>
    <t>Stage 5</t>
  </si>
  <si>
    <t>Time (s)</t>
  </si>
  <si>
    <t>Aya per hour low</t>
  </si>
  <si>
    <t>Aya per hour high</t>
  </si>
  <si>
    <t>% Difference with bonus</t>
  </si>
  <si>
    <t>Aya per run low</t>
  </si>
  <si>
    <t>Aya per run high</t>
  </si>
  <si>
    <t>Tier 1</t>
  </si>
  <si>
    <t>NONE</t>
  </si>
  <si>
    <t>Tier 2</t>
  </si>
  <si>
    <t>Lenses in that rotation</t>
  </si>
  <si>
    <t>Tier 3A</t>
  </si>
  <si>
    <t>Madurai</t>
  </si>
  <si>
    <t>Tier 3B</t>
  </si>
  <si>
    <t>Vazarin</t>
  </si>
  <si>
    <t>Unairu</t>
  </si>
  <si>
    <t>Tier 3C</t>
  </si>
  <si>
    <t>Naramon</t>
  </si>
  <si>
    <t>Zenurik</t>
  </si>
  <si>
    <t>Tier 4A and 4B</t>
  </si>
  <si>
    <t>Tier 4C</t>
  </si>
  <si>
    <t>Tier 5</t>
  </si>
  <si>
    <t>SP</t>
  </si>
  <si>
    <t>Ghoul 1</t>
  </si>
  <si>
    <t>High or low level doesn't matter to Aya</t>
  </si>
  <si>
    <t>Ghoul 2</t>
  </si>
  <si>
    <t>Narmer</t>
  </si>
  <si>
    <t>Orb Vallis</t>
  </si>
  <si>
    <t>Tier 3</t>
  </si>
  <si>
    <t>Tier 4</t>
  </si>
  <si>
    <t>Cambion</t>
  </si>
  <si>
    <t>Aya per hour AAA</t>
  </si>
  <si>
    <t>Aya per hour AAB</t>
  </si>
  <si>
    <t>Aya per hour AABC</t>
  </si>
  <si>
    <t>Zariman</t>
  </si>
  <si>
    <t>Aya/hr 4 min</t>
  </si>
  <si>
    <t>Aya/hr 5 min</t>
  </si>
  <si>
    <t>(mission times of 4 min vs 5 min)</t>
  </si>
  <si>
    <t>Syndicate Relic Packs</t>
  </si>
  <si>
    <t>Syndicate missions sample list</t>
  </si>
  <si>
    <t>Mission</t>
  </si>
  <si>
    <t>Standing</t>
  </si>
  <si>
    <t>Estimated time (mins)</t>
  </si>
  <si>
    <t>Rescue</t>
  </si>
  <si>
    <t>TOTAL</t>
  </si>
  <si>
    <t>Add 50% from shared standing</t>
  </si>
  <si>
    <t>Result: Approx 3 relic packs for 30 minutes mission time</t>
  </si>
  <si>
    <t>Relic pack has 3 relics, 1 Axi/Neo, 2 Meso/Lith</t>
  </si>
  <si>
    <t>Empirical evidence points to roughly 23% Aya per pack (including doubles/triples)</t>
  </si>
  <si>
    <t>3 packs = 0.69 Aya</t>
  </si>
  <si>
    <t xml:space="preserve">1.4 aya/hour assuming highly efficient mission times. </t>
  </si>
  <si>
    <t>MEDALLIONS</t>
  </si>
  <si>
    <t>8 per eligible mission. In above listing, this is 6/9 missions</t>
  </si>
  <si>
    <t>500/1000/5000 standing. Minimum 5x500, 2x1000, 1x5000. Total 9500</t>
  </si>
  <si>
    <t>Potential for 9500*6 = 57000 more standing</t>
  </si>
  <si>
    <t>Add 50% from shared standing with 2 syndicates (eg New Loka and Perrin Sequence, but not with Steel Meridian from Red Veil due to loss from Loka/Perrin) → 76,000 standing</t>
  </si>
  <si>
    <t>Or add 50% to three syndicates → 85,500 standing</t>
  </si>
  <si>
    <t>Four extra relic packs (approx 0.92 aya)</t>
  </si>
  <si>
    <t>Time taken, assuming 30 seconds per medallion (good luck finding them that fast), would be 24 minutes.</t>
  </si>
  <si>
    <t>0.92 aya in 24 mins is 2.3 aya/hour - at an unlikely high rate of collection</t>
  </si>
  <si>
    <t>COMBINED - 2.3+1.4 suggests 3.7 Aya per hour with highly efficient farming and collection</t>
  </si>
  <si>
    <t>CONCLUSION: Syndicate missions are poor for aya farming, even if you're VERY good at doing them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</si>
</sst>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5">
    <font>
      <sz val="10.0"/>
      <color rgb="FF000000"/>
      <name val="Arial"/>
      <scheme val="minor"/>
    </font>
    <font>
      <color theme="1"/>
      <name val="Arial"/>
      <scheme val="minor"/>
    </font>
    <font>
      <color rgb="FF666666"/>
      <name val="Arial"/>
      <scheme val="minor"/>
    </font>
    <font>
      <sz val="10.0"/>
      <color rgb="FF666666"/>
      <name val="Arial"/>
      <scheme val="minor"/>
    </font>
    <font>
      <b/>
      <color theme="1"/>
      <name val="Arial"/>
      <scheme val="minor"/>
    </font>
  </fonts>
  <fills count="19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76A5AF"/>
        <bgColor rgb="FF76A5AF"/>
      </patternFill>
    </fill>
    <fill>
      <patternFill patternType="solid">
        <fgColor rgb="FFFFD966"/>
        <bgColor rgb="FFFFD966"/>
      </patternFill>
    </fill>
    <fill>
      <patternFill patternType="solid">
        <fgColor rgb="FF93C47D"/>
        <bgColor rgb="FF93C47D"/>
      </patternFill>
    </fill>
    <fill>
      <patternFill patternType="solid">
        <fgColor rgb="FF6D9EEB"/>
        <bgColor rgb="FF6D9EEB"/>
      </patternFill>
    </fill>
    <fill>
      <patternFill patternType="solid">
        <fgColor rgb="FFD0E0E3"/>
        <bgColor rgb="FFD0E0E3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EA9999"/>
        <bgColor rgb="FFEA9999"/>
      </patternFill>
    </fill>
    <fill>
      <patternFill patternType="solid">
        <fgColor rgb="FFF9CB9C"/>
        <bgColor rgb="FFF9CB9C"/>
      </patternFill>
    </fill>
    <fill>
      <patternFill patternType="solid">
        <fgColor rgb="FFE06666"/>
        <bgColor rgb="FFE06666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CCCCCC"/>
        <bgColor rgb="FFCCCCCC"/>
      </patternFill>
    </fill>
    <fill>
      <patternFill patternType="solid">
        <fgColor rgb="FFA2C4C9"/>
        <bgColor rgb="FFA2C4C9"/>
      </patternFill>
    </fill>
    <fill>
      <patternFill patternType="solid">
        <fgColor rgb="FFF6B26B"/>
        <bgColor rgb="FFF6B26B"/>
      </patternFill>
    </fill>
  </fills>
  <borders count="1">
    <border/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3" fontId="1" numFmtId="0" xfId="0" applyAlignment="1" applyFill="1" applyFont="1">
      <alignment readingOrder="0"/>
    </xf>
    <xf borderId="0" fillId="4" fontId="1" numFmtId="0" xfId="0" applyAlignment="1" applyFill="1" applyFont="1">
      <alignment readingOrder="0"/>
    </xf>
    <xf borderId="0" fillId="5" fontId="1" numFmtId="0" xfId="0" applyAlignment="1" applyFill="1" applyFont="1">
      <alignment readingOrder="0"/>
    </xf>
    <xf borderId="0" fillId="6" fontId="1" numFmtId="0" xfId="0" applyAlignment="1" applyFill="1" applyFont="1">
      <alignment readingOrder="0"/>
    </xf>
    <xf borderId="0" fillId="2" fontId="1" numFmtId="0" xfId="0" applyAlignment="1" applyFont="1">
      <alignment readingOrder="0"/>
    </xf>
    <xf borderId="0" fillId="7" fontId="1" numFmtId="0" xfId="0" applyAlignment="1" applyFill="1" applyFont="1">
      <alignment readingOrder="0"/>
    </xf>
    <xf borderId="0" fillId="8" fontId="1" numFmtId="10" xfId="0" applyAlignment="1" applyFill="1" applyFont="1" applyNumberFormat="1">
      <alignment readingOrder="0"/>
    </xf>
    <xf borderId="0" fillId="8" fontId="1" numFmtId="0" xfId="0" applyFont="1"/>
    <xf borderId="0" fillId="9" fontId="1" numFmtId="0" xfId="0" applyAlignment="1" applyFill="1" applyFont="1">
      <alignment readingOrder="0"/>
    </xf>
    <xf borderId="0" fillId="10" fontId="1" numFmtId="0" xfId="0" applyFill="1" applyFont="1"/>
    <xf borderId="0" fillId="10" fontId="1" numFmtId="164" xfId="0" applyFont="1" applyNumberFormat="1"/>
    <xf borderId="0" fillId="11" fontId="1" numFmtId="0" xfId="0" applyAlignment="1" applyFill="1" applyFont="1">
      <alignment readingOrder="0"/>
    </xf>
    <xf borderId="0" fillId="12" fontId="1" numFmtId="0" xfId="0" applyAlignment="1" applyFill="1" applyFont="1">
      <alignment readingOrder="0"/>
    </xf>
    <xf borderId="0" fillId="13" fontId="1" numFmtId="0" xfId="0" applyAlignment="1" applyFill="1" applyFont="1">
      <alignment readingOrder="0"/>
    </xf>
    <xf borderId="0" fillId="8" fontId="1" numFmtId="0" xfId="0" applyAlignment="1" applyFont="1">
      <alignment readingOrder="0"/>
    </xf>
    <xf borderId="0" fillId="10" fontId="1" numFmtId="0" xfId="0" applyAlignment="1" applyFont="1">
      <alignment readingOrder="0"/>
    </xf>
    <xf borderId="0" fillId="10" fontId="1" numFmtId="164" xfId="0" applyAlignment="1" applyFont="1" applyNumberFormat="1">
      <alignment readingOrder="0"/>
    </xf>
    <xf borderId="0" fillId="14" fontId="1" numFmtId="0" xfId="0" applyAlignment="1" applyFill="1" applyFont="1">
      <alignment readingOrder="0"/>
    </xf>
    <xf borderId="0" fillId="8" fontId="1" numFmtId="9" xfId="0" applyAlignment="1" applyFont="1" applyNumberFormat="1">
      <alignment readingOrder="0"/>
    </xf>
    <xf borderId="0" fillId="15" fontId="1" numFmtId="9" xfId="0" applyFill="1" applyFont="1" applyNumberFormat="1"/>
    <xf borderId="0" fillId="14" fontId="1" numFmtId="4" xfId="0" applyFont="1" applyNumberFormat="1"/>
    <xf borderId="0" fillId="0" fontId="1" numFmtId="0" xfId="0" applyAlignment="1" applyFont="1">
      <alignment readingOrder="0"/>
    </xf>
    <xf borderId="0" fillId="10" fontId="0" numFmtId="164" xfId="0" applyAlignment="1" applyFont="1" applyNumberFormat="1">
      <alignment horizontal="right"/>
    </xf>
    <xf borderId="0" fillId="16" fontId="2" numFmtId="0" xfId="0" applyAlignment="1" applyFill="1" applyFont="1">
      <alignment readingOrder="0"/>
    </xf>
    <xf borderId="0" fillId="16" fontId="2" numFmtId="164" xfId="0" applyFont="1" applyNumberFormat="1"/>
    <xf borderId="0" fillId="16" fontId="3" numFmtId="164" xfId="0" applyAlignment="1" applyFont="1" applyNumberFormat="1">
      <alignment horizontal="right"/>
    </xf>
    <xf borderId="0" fillId="16" fontId="2" numFmtId="9" xfId="0" applyFont="1" applyNumberFormat="1"/>
    <xf borderId="0" fillId="0" fontId="1" numFmtId="2" xfId="0" applyFont="1" applyNumberFormat="1"/>
    <xf borderId="0" fillId="2" fontId="1" numFmtId="10" xfId="0" applyAlignment="1" applyFont="1" applyNumberFormat="1">
      <alignment readingOrder="0"/>
    </xf>
    <xf borderId="0" fillId="2" fontId="1" numFmtId="164" xfId="0" applyFont="1" applyNumberFormat="1"/>
    <xf borderId="0" fillId="0" fontId="1" numFmtId="164" xfId="0" applyFont="1" applyNumberFormat="1"/>
    <xf borderId="0" fillId="16" fontId="2" numFmtId="164" xfId="0" applyAlignment="1" applyFont="1" applyNumberFormat="1">
      <alignment readingOrder="0"/>
    </xf>
    <xf borderId="0" fillId="17" fontId="1" numFmtId="0" xfId="0" applyAlignment="1" applyFill="1" applyFont="1">
      <alignment readingOrder="0"/>
    </xf>
    <xf borderId="0" fillId="0" fontId="1" numFmtId="0" xfId="0" applyAlignment="1" applyFont="1">
      <alignment horizontal="center" readingOrder="0" shrinkToFit="0" vertical="center" wrapText="1"/>
    </xf>
    <xf borderId="0" fillId="9" fontId="1" numFmtId="0" xfId="0" applyAlignment="1" applyFont="1">
      <alignment horizontal="right" readingOrder="0" vertical="center"/>
    </xf>
    <xf borderId="0" fillId="2" fontId="4" numFmtId="0" xfId="0" applyAlignment="1" applyFont="1">
      <alignment readingOrder="0"/>
    </xf>
    <xf borderId="0" fillId="18" fontId="4" numFmtId="0" xfId="0" applyAlignment="1" applyFill="1" applyFont="1">
      <alignment readingOrder="0"/>
    </xf>
    <xf borderId="0" fillId="18" fontId="1" numFmtId="0" xfId="0" applyFont="1"/>
    <xf borderId="0" fillId="18" fontId="1" numFmtId="0" xfId="0" applyAlignment="1" applyFont="1">
      <alignment readingOrder="0"/>
    </xf>
    <xf borderId="0" fillId="0" fontId="1" numFmtId="0" xfId="0" applyFont="1"/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7" max="7" width="13.75"/>
    <col customWidth="1" min="9" max="9" width="15.0"/>
    <col customWidth="1" min="10" max="10" width="19.5"/>
    <col customWidth="1" min="11" max="11" width="16.38"/>
    <col customWidth="1" min="12" max="12" width="16.0"/>
  </cols>
  <sheetData>
    <row r="1">
      <c r="I1" s="1"/>
      <c r="J1" s="1"/>
      <c r="K1" s="1"/>
      <c r="L1" s="1"/>
      <c r="M1" s="1"/>
      <c r="N1" s="1"/>
    </row>
    <row r="2">
      <c r="A2" s="2" t="s">
        <v>0</v>
      </c>
      <c r="C2" s="3" t="s">
        <v>1</v>
      </c>
      <c r="D2" s="3" t="s">
        <v>2</v>
      </c>
      <c r="E2" s="3" t="s">
        <v>3</v>
      </c>
      <c r="G2" s="4" t="s">
        <v>4</v>
      </c>
      <c r="H2" s="5" t="s">
        <v>5</v>
      </c>
      <c r="I2" s="6"/>
      <c r="J2" s="6"/>
      <c r="K2" s="1"/>
      <c r="L2" s="1"/>
      <c r="M2" s="1"/>
      <c r="N2" s="1"/>
    </row>
    <row r="3">
      <c r="A3" s="7" t="s">
        <v>6</v>
      </c>
      <c r="B3" s="7" t="s">
        <v>7</v>
      </c>
      <c r="C3" s="8">
        <v>0.0667</v>
      </c>
      <c r="D3" s="9"/>
      <c r="E3" s="9"/>
      <c r="G3" s="10">
        <v>180.0</v>
      </c>
      <c r="H3" s="11">
        <f t="shared" ref="H3:H4" si="1">iferror(C3*3600/G3,0)</f>
        <v>1.334</v>
      </c>
      <c r="I3" s="6"/>
      <c r="J3" s="6"/>
      <c r="K3" s="1"/>
      <c r="L3" s="1"/>
      <c r="M3" s="1"/>
      <c r="N3" s="1"/>
    </row>
    <row r="4">
      <c r="A4" s="7" t="s">
        <v>8</v>
      </c>
      <c r="B4" s="7" t="s">
        <v>9</v>
      </c>
      <c r="C4" s="8">
        <v>0.0667</v>
      </c>
      <c r="D4" s="9"/>
      <c r="E4" s="9"/>
      <c r="G4" s="10">
        <v>60.0</v>
      </c>
      <c r="H4" s="12">
        <f t="shared" si="1"/>
        <v>4.002</v>
      </c>
      <c r="I4" s="6"/>
      <c r="J4" s="6"/>
      <c r="K4" s="1"/>
      <c r="L4" s="1"/>
      <c r="M4" s="1"/>
      <c r="N4" s="1"/>
    </row>
    <row r="5">
      <c r="A5" s="7" t="s">
        <v>10</v>
      </c>
      <c r="B5" s="7" t="s">
        <v>11</v>
      </c>
      <c r="C5" s="8">
        <v>0.0667</v>
      </c>
      <c r="D5" s="8">
        <v>0.0615</v>
      </c>
      <c r="E5" s="8">
        <v>0.0667</v>
      </c>
      <c r="G5" s="13">
        <v>300.0</v>
      </c>
      <c r="H5" s="12">
        <f>iferror((C5*2+D5+E5)/4*3600/G5,0)</f>
        <v>0.7848</v>
      </c>
      <c r="I5" s="6"/>
      <c r="J5" s="6"/>
      <c r="K5" s="1"/>
      <c r="L5" s="1"/>
      <c r="M5" s="1"/>
      <c r="N5" s="1"/>
    </row>
    <row r="6">
      <c r="A6" s="7" t="s">
        <v>12</v>
      </c>
      <c r="B6" s="7" t="s">
        <v>13</v>
      </c>
      <c r="C6" s="8">
        <v>0.0667</v>
      </c>
      <c r="D6" s="9"/>
      <c r="E6" s="9"/>
      <c r="G6" s="10" t="s">
        <v>14</v>
      </c>
      <c r="H6" s="11">
        <f t="shared" ref="H6:H7" si="2">iferror(C6*3600/G6,0)</f>
        <v>0</v>
      </c>
      <c r="I6" s="6"/>
      <c r="J6" s="6"/>
    </row>
    <row r="7">
      <c r="A7" s="7" t="s">
        <v>15</v>
      </c>
      <c r="B7" s="7" t="s">
        <v>16</v>
      </c>
      <c r="C7" s="8">
        <v>0.0667</v>
      </c>
      <c r="D7" s="9"/>
      <c r="E7" s="9"/>
      <c r="G7" s="10" t="s">
        <v>14</v>
      </c>
      <c r="H7" s="11">
        <f t="shared" si="2"/>
        <v>0</v>
      </c>
    </row>
    <row r="8">
      <c r="A8" s="7" t="s">
        <v>17</v>
      </c>
      <c r="B8" s="7" t="s">
        <v>18</v>
      </c>
      <c r="C8" s="8">
        <v>0.0615</v>
      </c>
      <c r="D8" s="8">
        <v>0.0615</v>
      </c>
      <c r="E8" s="8">
        <v>0.0778</v>
      </c>
      <c r="G8" s="13">
        <v>305.0</v>
      </c>
      <c r="H8" s="12">
        <f>iferror((C8*2+D8+E8)/4*3600/G8,0)</f>
        <v>0.774</v>
      </c>
    </row>
    <row r="9">
      <c r="A9" s="7" t="s">
        <v>19</v>
      </c>
      <c r="B9" s="7" t="s">
        <v>9</v>
      </c>
      <c r="C9" s="8">
        <v>0.0667</v>
      </c>
      <c r="D9" s="9"/>
      <c r="E9" s="9"/>
      <c r="G9" s="10">
        <v>60.0</v>
      </c>
      <c r="H9" s="12">
        <f t="shared" ref="H9:H10" si="3">iferror(C9*3600/G9,0)</f>
        <v>4.002</v>
      </c>
    </row>
    <row r="10">
      <c r="A10" s="7" t="s">
        <v>20</v>
      </c>
      <c r="B10" s="7" t="s">
        <v>7</v>
      </c>
      <c r="C10" s="8">
        <v>0.0667</v>
      </c>
      <c r="D10" s="9"/>
      <c r="E10" s="9"/>
      <c r="G10" s="10" t="s">
        <v>14</v>
      </c>
      <c r="H10" s="11">
        <f t="shared" si="3"/>
        <v>0</v>
      </c>
    </row>
    <row r="11">
      <c r="A11" s="7" t="s">
        <v>21</v>
      </c>
      <c r="B11" s="7" t="s">
        <v>11</v>
      </c>
      <c r="C11" s="8">
        <v>0.0779</v>
      </c>
      <c r="D11" s="8">
        <v>0.0909</v>
      </c>
      <c r="E11" s="8">
        <v>0.125</v>
      </c>
      <c r="G11" s="10" t="s">
        <v>14</v>
      </c>
      <c r="H11" s="11">
        <f t="shared" ref="H11:H12" si="4">iferror((C11*2+D11+E11)/4*3600/G11,0)</f>
        <v>0</v>
      </c>
    </row>
    <row r="12">
      <c r="A12" s="7" t="s">
        <v>22</v>
      </c>
      <c r="B12" s="7" t="s">
        <v>18</v>
      </c>
      <c r="C12" s="8">
        <v>0.0909</v>
      </c>
      <c r="D12" s="8">
        <v>0.125</v>
      </c>
      <c r="E12" s="8">
        <v>0.2211</v>
      </c>
      <c r="G12" s="13">
        <v>305.0</v>
      </c>
      <c r="H12" s="12">
        <f t="shared" si="4"/>
        <v>1.557737705</v>
      </c>
    </row>
    <row r="13">
      <c r="A13" s="7" t="s">
        <v>23</v>
      </c>
      <c r="B13" s="7" t="s">
        <v>13</v>
      </c>
      <c r="C13" s="8">
        <v>0.125</v>
      </c>
      <c r="D13" s="9"/>
      <c r="E13" s="9"/>
      <c r="G13" s="10" t="s">
        <v>14</v>
      </c>
      <c r="H13" s="11">
        <f t="shared" ref="H13:H14" si="5">iferror(C13*3600/G13,0)</f>
        <v>0</v>
      </c>
    </row>
    <row r="14">
      <c r="A14" s="7" t="s">
        <v>24</v>
      </c>
      <c r="B14" s="7" t="s">
        <v>16</v>
      </c>
      <c r="C14" s="8">
        <v>0.125</v>
      </c>
      <c r="D14" s="9"/>
      <c r="E14" s="9"/>
      <c r="G14" s="13">
        <v>225.0</v>
      </c>
      <c r="H14" s="11">
        <f t="shared" si="5"/>
        <v>2</v>
      </c>
    </row>
    <row r="15">
      <c r="A15" s="7" t="s">
        <v>25</v>
      </c>
      <c r="B15" s="7" t="s">
        <v>26</v>
      </c>
      <c r="C15" s="8">
        <v>0.0909</v>
      </c>
      <c r="D15" s="8">
        <v>0.125</v>
      </c>
      <c r="E15" s="8">
        <v>0.2211</v>
      </c>
      <c r="G15" s="13">
        <v>240.0</v>
      </c>
      <c r="H15" s="12">
        <f>iferror((C15*2+D15+E15)/4*3600/G15,0)</f>
        <v>1.979625</v>
      </c>
    </row>
    <row r="17">
      <c r="A17" s="2" t="s">
        <v>27</v>
      </c>
    </row>
    <row r="18">
      <c r="A18" s="2" t="s">
        <v>28</v>
      </c>
      <c r="B18" s="3" t="s">
        <v>29</v>
      </c>
      <c r="C18" s="3" t="s">
        <v>30</v>
      </c>
      <c r="D18" s="3" t="s">
        <v>31</v>
      </c>
      <c r="E18" s="3" t="s">
        <v>32</v>
      </c>
      <c r="F18" s="3" t="s">
        <v>33</v>
      </c>
      <c r="G18" s="4" t="s">
        <v>34</v>
      </c>
      <c r="H18" s="5" t="s">
        <v>35</v>
      </c>
      <c r="I18" s="5" t="s">
        <v>36</v>
      </c>
      <c r="J18" s="14" t="s">
        <v>37</v>
      </c>
      <c r="K18" s="15" t="s">
        <v>38</v>
      </c>
      <c r="L18" s="15" t="s">
        <v>39</v>
      </c>
    </row>
    <row r="19">
      <c r="A19" s="7" t="s">
        <v>40</v>
      </c>
      <c r="B19" s="16" t="s">
        <v>41</v>
      </c>
      <c r="C19" s="16" t="s">
        <v>41</v>
      </c>
      <c r="D19" s="16" t="s">
        <v>41</v>
      </c>
      <c r="E19" s="9"/>
      <c r="F19" s="9"/>
      <c r="G19" s="10">
        <v>360.0</v>
      </c>
      <c r="H19" s="17">
        <v>0.0</v>
      </c>
      <c r="I19" s="18">
        <v>0.0</v>
      </c>
      <c r="K19" s="19">
        <v>0.0</v>
      </c>
      <c r="L19" s="19">
        <v>0.0</v>
      </c>
    </row>
    <row r="20">
      <c r="A20" s="7" t="s">
        <v>42</v>
      </c>
      <c r="B20" s="20">
        <v>0.0</v>
      </c>
      <c r="C20" s="8">
        <v>0.0588</v>
      </c>
      <c r="D20" s="8">
        <v>0.1458</v>
      </c>
      <c r="E20" s="9"/>
      <c r="F20" s="9"/>
      <c r="G20" s="10">
        <v>360.0</v>
      </c>
      <c r="H20" s="12">
        <f>iferror((B20+C20+D20)*3600/G20,0)</f>
        <v>2.046</v>
      </c>
      <c r="I20" s="12">
        <f>iferror((B20+C20+D20*2)*3600/G20,0)</f>
        <v>3.504</v>
      </c>
      <c r="J20" s="21">
        <f t="shared" ref="J20:J29" si="6">I20/H20</f>
        <v>1.712609971</v>
      </c>
      <c r="K20" s="22">
        <f t="shared" ref="K20:K29" si="7">B20+C20+D20+E20+F20</f>
        <v>0.2046</v>
      </c>
      <c r="L20" s="22">
        <f>B20+C20+D20+E20+F20+D20</f>
        <v>0.3504</v>
      </c>
      <c r="M20" s="23" t="s">
        <v>43</v>
      </c>
    </row>
    <row r="21">
      <c r="A21" s="7" t="s">
        <v>44</v>
      </c>
      <c r="B21" s="20">
        <v>0.0</v>
      </c>
      <c r="C21" s="8">
        <v>0.0734</v>
      </c>
      <c r="D21" s="8">
        <v>0.0734</v>
      </c>
      <c r="E21" s="20">
        <v>0.2</v>
      </c>
      <c r="F21" s="9"/>
      <c r="G21" s="10">
        <v>480.0</v>
      </c>
      <c r="H21" s="12">
        <f t="shared" ref="H21:H23" si="8">iferror((B21+C21+D21+E21)*3600/G21,0)</f>
        <v>2.601</v>
      </c>
      <c r="I21" s="12">
        <f t="shared" ref="I21:I23" si="9">iferror((B21+C21+D21+E21*2)*3600/G21,0)</f>
        <v>4.101</v>
      </c>
      <c r="J21" s="21">
        <f t="shared" si="6"/>
        <v>1.576701269</v>
      </c>
      <c r="K21" s="22">
        <f t="shared" si="7"/>
        <v>0.3468</v>
      </c>
      <c r="L21" s="22">
        <f t="shared" ref="L21:L23" si="10">B21+C21+D21+E21+F21+E21</f>
        <v>0.5468</v>
      </c>
      <c r="M21" s="23" t="s">
        <v>45</v>
      </c>
    </row>
    <row r="22">
      <c r="A22" s="7" t="s">
        <v>46</v>
      </c>
      <c r="B22" s="20">
        <v>0.0</v>
      </c>
      <c r="C22" s="8">
        <v>0.0814</v>
      </c>
      <c r="D22" s="8">
        <v>0.0814</v>
      </c>
      <c r="E22" s="8">
        <v>0.2059</v>
      </c>
      <c r="F22" s="9"/>
      <c r="G22" s="10">
        <v>480.0</v>
      </c>
      <c r="H22" s="12">
        <f t="shared" si="8"/>
        <v>2.76525</v>
      </c>
      <c r="I22" s="12">
        <f t="shared" si="9"/>
        <v>4.3095</v>
      </c>
      <c r="J22" s="21">
        <f t="shared" si="6"/>
        <v>1.558448603</v>
      </c>
      <c r="K22" s="22">
        <f t="shared" si="7"/>
        <v>0.3687</v>
      </c>
      <c r="L22" s="22">
        <f t="shared" si="10"/>
        <v>0.5746</v>
      </c>
      <c r="M22" s="23" t="s">
        <v>47</v>
      </c>
      <c r="N22" s="23" t="s">
        <v>48</v>
      </c>
    </row>
    <row r="23">
      <c r="A23" s="7" t="s">
        <v>49</v>
      </c>
      <c r="B23" s="20">
        <v>0.0</v>
      </c>
      <c r="C23" s="8">
        <v>0.0867</v>
      </c>
      <c r="D23" s="8">
        <v>0.0867</v>
      </c>
      <c r="E23" s="8">
        <v>0.2174</v>
      </c>
      <c r="F23" s="9"/>
      <c r="G23" s="10">
        <v>480.0</v>
      </c>
      <c r="H23" s="12">
        <f t="shared" si="8"/>
        <v>2.931</v>
      </c>
      <c r="I23" s="12">
        <f t="shared" si="9"/>
        <v>4.5615</v>
      </c>
      <c r="J23" s="21">
        <f t="shared" si="6"/>
        <v>1.55629478</v>
      </c>
      <c r="K23" s="22">
        <f t="shared" si="7"/>
        <v>0.3908</v>
      </c>
      <c r="L23" s="22">
        <f t="shared" si="10"/>
        <v>0.6082</v>
      </c>
      <c r="M23" s="23" t="s">
        <v>50</v>
      </c>
      <c r="N23" s="23" t="s">
        <v>51</v>
      </c>
    </row>
    <row r="24">
      <c r="A24" s="7" t="s">
        <v>52</v>
      </c>
      <c r="B24" s="20">
        <v>0.0</v>
      </c>
      <c r="C24" s="8">
        <v>0.1124</v>
      </c>
      <c r="D24" s="8">
        <v>0.1124</v>
      </c>
      <c r="E24" s="8">
        <v>0.1099</v>
      </c>
      <c r="F24" s="8">
        <v>0.2703</v>
      </c>
      <c r="G24" s="10">
        <v>600.0</v>
      </c>
      <c r="H24" s="12">
        <f t="shared" ref="H24:H27" si="11">iferror((B24+C24+D24+E24+F24*1)*3600/G24,0)</f>
        <v>3.63</v>
      </c>
      <c r="I24" s="24">
        <f t="shared" ref="I24:I27" si="12">iferror((B24+C24+D24+E24+F24*2)*3600/G24,0)</f>
        <v>5.2518</v>
      </c>
      <c r="J24" s="21">
        <f t="shared" si="6"/>
        <v>1.44677686</v>
      </c>
      <c r="K24" s="22">
        <f t="shared" si="7"/>
        <v>0.605</v>
      </c>
      <c r="L24" s="22">
        <f t="shared" ref="L24:L27" si="13">B24+C24+D24+E24+F24+F24</f>
        <v>0.8753</v>
      </c>
      <c r="M24" s="23" t="s">
        <v>48</v>
      </c>
      <c r="N24" s="23" t="s">
        <v>45</v>
      </c>
      <c r="O24" s="23" t="s">
        <v>51</v>
      </c>
      <c r="P24" s="23" t="s">
        <v>47</v>
      </c>
    </row>
    <row r="25">
      <c r="A25" s="7" t="s">
        <v>53</v>
      </c>
      <c r="B25" s="20">
        <v>0.0</v>
      </c>
      <c r="C25" s="8">
        <v>0.1087</v>
      </c>
      <c r="D25" s="8">
        <v>0.1087</v>
      </c>
      <c r="E25" s="8">
        <v>0.1064</v>
      </c>
      <c r="F25" s="8">
        <v>0.2778</v>
      </c>
      <c r="G25" s="10">
        <v>600.0</v>
      </c>
      <c r="H25" s="12">
        <f t="shared" si="11"/>
        <v>3.6096</v>
      </c>
      <c r="I25" s="24">
        <f t="shared" si="12"/>
        <v>5.2764</v>
      </c>
      <c r="J25" s="21">
        <f t="shared" si="6"/>
        <v>1.461768617</v>
      </c>
      <c r="K25" s="22">
        <f t="shared" si="7"/>
        <v>0.6016</v>
      </c>
      <c r="L25" s="22">
        <f t="shared" si="13"/>
        <v>0.8794</v>
      </c>
      <c r="M25" s="23" t="s">
        <v>50</v>
      </c>
    </row>
    <row r="26">
      <c r="A26" s="7" t="s">
        <v>54</v>
      </c>
      <c r="B26" s="20">
        <v>0.0</v>
      </c>
      <c r="C26" s="8">
        <v>0.3304</v>
      </c>
      <c r="D26" s="8">
        <v>0.3304</v>
      </c>
      <c r="E26" s="8">
        <v>0.2568</v>
      </c>
      <c r="F26" s="8">
        <v>0.3878</v>
      </c>
      <c r="G26" s="10">
        <v>600.0</v>
      </c>
      <c r="H26" s="12">
        <f t="shared" si="11"/>
        <v>7.8324</v>
      </c>
      <c r="I26" s="24">
        <f t="shared" si="12"/>
        <v>10.1592</v>
      </c>
      <c r="J26" s="21">
        <f t="shared" si="6"/>
        <v>1.297073694</v>
      </c>
      <c r="K26" s="22">
        <f t="shared" si="7"/>
        <v>1.3054</v>
      </c>
      <c r="L26" s="22">
        <f t="shared" si="13"/>
        <v>1.6932</v>
      </c>
    </row>
    <row r="27">
      <c r="A27" s="7" t="s">
        <v>55</v>
      </c>
      <c r="B27" s="20">
        <v>0.0</v>
      </c>
      <c r="C27" s="8">
        <v>0.3304</v>
      </c>
      <c r="D27" s="8">
        <v>0.3304</v>
      </c>
      <c r="E27" s="8">
        <v>0.2568</v>
      </c>
      <c r="F27" s="8">
        <v>0.3878</v>
      </c>
      <c r="G27" s="25">
        <v>600.0</v>
      </c>
      <c r="H27" s="26">
        <f t="shared" si="11"/>
        <v>7.8324</v>
      </c>
      <c r="I27" s="27">
        <f t="shared" si="12"/>
        <v>10.1592</v>
      </c>
      <c r="J27" s="28">
        <f t="shared" si="6"/>
        <v>1.297073694</v>
      </c>
      <c r="K27" s="22">
        <f t="shared" si="7"/>
        <v>1.3054</v>
      </c>
      <c r="L27" s="22">
        <f t="shared" si="13"/>
        <v>1.6932</v>
      </c>
    </row>
    <row r="28">
      <c r="A28" s="7" t="s">
        <v>56</v>
      </c>
      <c r="B28" s="8">
        <v>0.0</v>
      </c>
      <c r="C28" s="8">
        <v>0.0</v>
      </c>
      <c r="D28" s="8">
        <v>0.0</v>
      </c>
      <c r="E28" s="20">
        <v>0.2075</v>
      </c>
      <c r="F28" s="9"/>
      <c r="G28" s="10">
        <v>480.0</v>
      </c>
      <c r="H28" s="12">
        <f t="shared" ref="H28:H29" si="14">iferror((B28+C28+D28+E28)*3600/G28,0)</f>
        <v>1.55625</v>
      </c>
      <c r="I28" s="12">
        <f t="shared" ref="I28:I29" si="15">iferror((B28+C28+D28+E28*2)*3600/G28,0)</f>
        <v>3.1125</v>
      </c>
      <c r="J28" s="21">
        <f t="shared" si="6"/>
        <v>2</v>
      </c>
      <c r="K28" s="22">
        <f t="shared" si="7"/>
        <v>0.2075</v>
      </c>
      <c r="L28" s="22">
        <f t="shared" ref="L28:L29" si="16">B28+C28+D28+E28+F28+E28</f>
        <v>0.415</v>
      </c>
      <c r="M28" s="23" t="s">
        <v>57</v>
      </c>
      <c r="N28" s="29"/>
    </row>
    <row r="29">
      <c r="A29" s="7" t="s">
        <v>58</v>
      </c>
      <c r="B29" s="8">
        <v>0.0</v>
      </c>
      <c r="C29" s="8">
        <v>0.0</v>
      </c>
      <c r="D29" s="8">
        <v>0.0</v>
      </c>
      <c r="E29" s="20">
        <v>0.2075</v>
      </c>
      <c r="F29" s="9"/>
      <c r="G29" s="10">
        <v>480.0</v>
      </c>
      <c r="H29" s="12">
        <f t="shared" si="14"/>
        <v>1.55625</v>
      </c>
      <c r="I29" s="12">
        <f t="shared" si="15"/>
        <v>3.1125</v>
      </c>
      <c r="J29" s="21">
        <f t="shared" si="6"/>
        <v>2</v>
      </c>
      <c r="K29" s="22">
        <f t="shared" si="7"/>
        <v>0.2075</v>
      </c>
      <c r="L29" s="22">
        <f t="shared" si="16"/>
        <v>0.415</v>
      </c>
      <c r="N29" s="29"/>
    </row>
    <row r="30">
      <c r="A30" s="7" t="s">
        <v>59</v>
      </c>
      <c r="B30" s="16" t="s">
        <v>41</v>
      </c>
      <c r="C30" s="1"/>
      <c r="D30" s="1"/>
      <c r="E30" s="1"/>
      <c r="F30" s="1"/>
      <c r="G30" s="10">
        <v>0.0</v>
      </c>
      <c r="H30" s="18">
        <v>0.0</v>
      </c>
      <c r="I30" s="18">
        <v>0.0</v>
      </c>
      <c r="K30" s="19">
        <v>0.0</v>
      </c>
      <c r="L30" s="19">
        <v>0.0</v>
      </c>
    </row>
    <row r="31">
      <c r="A31" s="6"/>
      <c r="B31" s="30"/>
      <c r="C31" s="1"/>
      <c r="D31" s="1"/>
      <c r="E31" s="1"/>
      <c r="F31" s="1"/>
      <c r="G31" s="6"/>
      <c r="H31" s="31"/>
      <c r="I31" s="31"/>
    </row>
    <row r="32">
      <c r="H32" s="32"/>
    </row>
    <row r="33">
      <c r="A33" s="2" t="s">
        <v>60</v>
      </c>
      <c r="H33" s="5" t="s">
        <v>35</v>
      </c>
      <c r="I33" s="5" t="s">
        <v>36</v>
      </c>
      <c r="J33" s="14" t="s">
        <v>37</v>
      </c>
      <c r="K33" s="15" t="s">
        <v>38</v>
      </c>
      <c r="L33" s="15" t="s">
        <v>39</v>
      </c>
    </row>
    <row r="34">
      <c r="A34" s="7" t="s">
        <v>40</v>
      </c>
      <c r="B34" s="20">
        <v>0.0</v>
      </c>
      <c r="C34" s="20">
        <v>0.0</v>
      </c>
      <c r="D34" s="8">
        <v>0.0833</v>
      </c>
      <c r="E34" s="9"/>
      <c r="F34" s="9"/>
      <c r="G34" s="10">
        <v>360.0</v>
      </c>
      <c r="H34" s="12">
        <f t="shared" ref="H34:H35" si="17">iferror((B34+C34+D34*1)*3600/G34,0)</f>
        <v>0.833</v>
      </c>
      <c r="I34" s="12">
        <f t="shared" ref="I34:I35" si="18">iferror((B34+C34+D34*2)*3600/G34,0)</f>
        <v>1.666</v>
      </c>
      <c r="J34" s="21">
        <f t="shared" ref="J34:J39" si="19">I34/H34</f>
        <v>2</v>
      </c>
      <c r="K34" s="22">
        <f t="shared" ref="K34:K39" si="20">B34+C34+D34+E34+F34</f>
        <v>0.0833</v>
      </c>
      <c r="L34" s="22">
        <f t="shared" ref="L34:L35" si="21">B34+C34+D34+E34+F34+D34</f>
        <v>0.1666</v>
      </c>
    </row>
    <row r="35">
      <c r="A35" s="7" t="s">
        <v>42</v>
      </c>
      <c r="B35" s="20">
        <v>0.0</v>
      </c>
      <c r="C35" s="8">
        <v>0.0588</v>
      </c>
      <c r="D35" s="20">
        <v>0.2</v>
      </c>
      <c r="E35" s="9"/>
      <c r="F35" s="9"/>
      <c r="G35" s="10">
        <v>360.0</v>
      </c>
      <c r="H35" s="12">
        <f t="shared" si="17"/>
        <v>2.588</v>
      </c>
      <c r="I35" s="12">
        <f t="shared" si="18"/>
        <v>4.588</v>
      </c>
      <c r="J35" s="21">
        <f t="shared" si="19"/>
        <v>1.772797527</v>
      </c>
      <c r="K35" s="22">
        <f t="shared" si="20"/>
        <v>0.2588</v>
      </c>
      <c r="L35" s="22">
        <f t="shared" si="21"/>
        <v>0.4588</v>
      </c>
    </row>
    <row r="36">
      <c r="A36" s="7" t="s">
        <v>61</v>
      </c>
      <c r="B36" s="20">
        <v>0.0</v>
      </c>
      <c r="C36" s="8">
        <v>0.125</v>
      </c>
      <c r="D36" s="8">
        <v>0.125</v>
      </c>
      <c r="E36" s="20">
        <v>0.25</v>
      </c>
      <c r="F36" s="9"/>
      <c r="G36" s="10">
        <v>480.0</v>
      </c>
      <c r="H36" s="12">
        <f>iferror((B36+C36+D36+E36*1)*3600/G36,0)</f>
        <v>3.75</v>
      </c>
      <c r="I36" s="12">
        <f>iferror((B36+C36+D36+E36*2)*3600/G36,0)</f>
        <v>5.625</v>
      </c>
      <c r="J36" s="21">
        <f t="shared" si="19"/>
        <v>1.5</v>
      </c>
      <c r="K36" s="22">
        <f t="shared" si="20"/>
        <v>0.5</v>
      </c>
      <c r="L36" s="22">
        <f>B36+C36+D36+E36+F36+E36</f>
        <v>0.75</v>
      </c>
    </row>
    <row r="37">
      <c r="A37" s="7" t="s">
        <v>62</v>
      </c>
      <c r="B37" s="20">
        <v>0.0</v>
      </c>
      <c r="C37" s="8">
        <v>0.1473</v>
      </c>
      <c r="D37" s="8">
        <v>0.1473</v>
      </c>
      <c r="E37" s="8">
        <v>0.1304</v>
      </c>
      <c r="F37" s="8">
        <v>0.4488</v>
      </c>
      <c r="G37" s="10">
        <v>600.0</v>
      </c>
      <c r="H37" s="12">
        <f t="shared" ref="H37:H39" si="22">iferror((B37+C37+D37+E37+F37*1)*3600/G37,0)</f>
        <v>5.2428</v>
      </c>
      <c r="I37" s="18">
        <f t="shared" ref="I37:I39" si="23">iferror((B37+C37+D37+E37+F37*2)*3600/G37,0)</f>
        <v>7.9356</v>
      </c>
      <c r="J37" s="21">
        <f t="shared" si="19"/>
        <v>1.513618677</v>
      </c>
      <c r="K37" s="22">
        <f t="shared" si="20"/>
        <v>0.8738</v>
      </c>
      <c r="L37" s="22">
        <f t="shared" ref="L37:L39" si="24">B37+C37+D37+E37+F37+F37</f>
        <v>1.3226</v>
      </c>
    </row>
    <row r="38">
      <c r="A38" s="7" t="s">
        <v>54</v>
      </c>
      <c r="B38" s="20">
        <v>0.0</v>
      </c>
      <c r="C38" s="20">
        <v>0.25</v>
      </c>
      <c r="D38" s="20">
        <v>0.25</v>
      </c>
      <c r="E38" s="8">
        <v>0.2143</v>
      </c>
      <c r="F38" s="20">
        <v>0.5</v>
      </c>
      <c r="G38" s="10">
        <v>600.0</v>
      </c>
      <c r="H38" s="12">
        <f t="shared" si="22"/>
        <v>7.2858</v>
      </c>
      <c r="I38" s="18">
        <f t="shared" si="23"/>
        <v>10.2858</v>
      </c>
      <c r="J38" s="21">
        <f t="shared" si="19"/>
        <v>1.411759862</v>
      </c>
      <c r="K38" s="22">
        <f t="shared" si="20"/>
        <v>1.2143</v>
      </c>
      <c r="L38" s="22">
        <f t="shared" si="24"/>
        <v>1.7143</v>
      </c>
    </row>
    <row r="39">
      <c r="A39" s="7" t="s">
        <v>55</v>
      </c>
      <c r="B39" s="20">
        <v>0.0</v>
      </c>
      <c r="C39" s="20">
        <v>0.25</v>
      </c>
      <c r="D39" s="20">
        <v>0.25</v>
      </c>
      <c r="E39" s="8">
        <v>0.2143</v>
      </c>
      <c r="F39" s="20">
        <v>0.5</v>
      </c>
      <c r="G39" s="25">
        <v>600.0</v>
      </c>
      <c r="H39" s="26">
        <f t="shared" si="22"/>
        <v>7.2858</v>
      </c>
      <c r="I39" s="33">
        <f t="shared" si="23"/>
        <v>10.2858</v>
      </c>
      <c r="J39" s="28">
        <f t="shared" si="19"/>
        <v>1.411759862</v>
      </c>
      <c r="K39" s="22">
        <f t="shared" si="20"/>
        <v>1.2143</v>
      </c>
      <c r="L39" s="22">
        <f t="shared" si="24"/>
        <v>1.7143</v>
      </c>
    </row>
    <row r="40">
      <c r="H40" s="32"/>
    </row>
    <row r="41">
      <c r="A41" s="2" t="s">
        <v>63</v>
      </c>
      <c r="H41" s="5" t="s">
        <v>35</v>
      </c>
      <c r="I41" s="5" t="s">
        <v>36</v>
      </c>
      <c r="J41" s="14" t="s">
        <v>37</v>
      </c>
      <c r="K41" s="15" t="s">
        <v>38</v>
      </c>
      <c r="L41" s="15" t="s">
        <v>39</v>
      </c>
    </row>
    <row r="42">
      <c r="A42" s="7" t="s">
        <v>40</v>
      </c>
      <c r="B42" s="20">
        <v>0.0</v>
      </c>
      <c r="C42" s="8">
        <v>0.0451</v>
      </c>
      <c r="D42" s="8">
        <v>0.1833</v>
      </c>
      <c r="E42" s="9"/>
      <c r="F42" s="9"/>
      <c r="G42" s="10">
        <v>360.0</v>
      </c>
      <c r="H42" s="12">
        <f t="shared" ref="H42:H43" si="25">iferror((B42+C42+D42*1)*3600/G42,0)</f>
        <v>2.284</v>
      </c>
      <c r="I42" s="12">
        <f t="shared" ref="I42:I43" si="26">iferror((B42+C42+D42*2)*3600/G42,0)</f>
        <v>4.117</v>
      </c>
      <c r="J42" s="21">
        <f t="shared" ref="J42:J43" si="27">I42/H42</f>
        <v>1.802539405</v>
      </c>
      <c r="K42" s="22">
        <f t="shared" ref="K42:K43" si="28">B42+C42+D42+E42+F42</f>
        <v>0.2284</v>
      </c>
      <c r="L42" s="22">
        <f t="shared" ref="L42:L43" si="29">B42+C42+D42+E42+F42+D42</f>
        <v>0.4117</v>
      </c>
    </row>
    <row r="43">
      <c r="A43" s="7" t="s">
        <v>42</v>
      </c>
      <c r="B43" s="20">
        <v>0.0</v>
      </c>
      <c r="C43" s="8">
        <v>0.1471</v>
      </c>
      <c r="D43" s="20">
        <v>0.2</v>
      </c>
      <c r="E43" s="9"/>
      <c r="F43" s="9"/>
      <c r="G43" s="10">
        <v>360.0</v>
      </c>
      <c r="H43" s="12">
        <f t="shared" si="25"/>
        <v>3.471</v>
      </c>
      <c r="I43" s="12">
        <f t="shared" si="26"/>
        <v>5.471</v>
      </c>
      <c r="J43" s="21">
        <f t="shared" si="27"/>
        <v>1.576202823</v>
      </c>
      <c r="K43" s="22">
        <f t="shared" si="28"/>
        <v>0.3471</v>
      </c>
      <c r="L43" s="22">
        <f t="shared" si="29"/>
        <v>0.5471</v>
      </c>
      <c r="M43" s="34" t="s">
        <v>64</v>
      </c>
      <c r="N43" s="34" t="s">
        <v>65</v>
      </c>
      <c r="O43" s="34" t="s">
        <v>66</v>
      </c>
    </row>
    <row r="44">
      <c r="A44" s="7" t="s">
        <v>44</v>
      </c>
      <c r="B44" s="8">
        <v>0.0</v>
      </c>
      <c r="C44" s="8">
        <v>0.04</v>
      </c>
      <c r="D44" s="8">
        <v>0.077</v>
      </c>
      <c r="E44" s="35"/>
      <c r="G44" s="36">
        <v>420.0</v>
      </c>
      <c r="M44" s="12">
        <f>iferror(B44*3*3600/G44,0)</f>
        <v>0</v>
      </c>
      <c r="N44" s="12">
        <f t="shared" ref="N44:N46" si="30">iferror((B44*2+C44)*3*3600/G$45,0)</f>
        <v>0.3428571429</v>
      </c>
      <c r="O44" s="12">
        <f t="shared" ref="O44:O46" si="31">iferror((B44*2+C44+D44)*3*3600/G$46,0)</f>
        <v>0.7521428571</v>
      </c>
    </row>
    <row r="45">
      <c r="A45" s="7" t="s">
        <v>46</v>
      </c>
      <c r="B45" s="8">
        <v>0.0</v>
      </c>
      <c r="C45" s="8">
        <v>0.0516</v>
      </c>
      <c r="D45" s="8">
        <v>0.1</v>
      </c>
      <c r="G45" s="36">
        <v>1260.0</v>
      </c>
      <c r="M45" s="12">
        <f>iferror(B45*3*3600/G44,0)</f>
        <v>0</v>
      </c>
      <c r="N45" s="12">
        <f t="shared" si="30"/>
        <v>0.4422857143</v>
      </c>
      <c r="O45" s="12">
        <f t="shared" si="31"/>
        <v>0.9745714286</v>
      </c>
    </row>
    <row r="46">
      <c r="A46" s="7" t="s">
        <v>49</v>
      </c>
      <c r="B46" s="8">
        <v>0.0</v>
      </c>
      <c r="C46" s="8">
        <v>0.0526</v>
      </c>
      <c r="D46" s="8">
        <v>0.1</v>
      </c>
      <c r="G46" s="36">
        <v>1680.0</v>
      </c>
      <c r="M46" s="12">
        <f>iferror(B46*3*3600/G44,0)</f>
        <v>0</v>
      </c>
      <c r="N46" s="12">
        <f t="shared" si="30"/>
        <v>0.4508571429</v>
      </c>
      <c r="O46" s="12">
        <f t="shared" si="31"/>
        <v>0.981</v>
      </c>
    </row>
    <row r="47">
      <c r="A47" s="7" t="s">
        <v>62</v>
      </c>
      <c r="B47" s="20">
        <v>0.0</v>
      </c>
      <c r="C47" s="8">
        <v>0.1781</v>
      </c>
      <c r="D47" s="8">
        <v>0.1781</v>
      </c>
      <c r="E47" s="8">
        <v>0.2453</v>
      </c>
      <c r="F47" s="8"/>
      <c r="G47" s="10">
        <v>480.0</v>
      </c>
      <c r="H47" s="12">
        <f>iferror((B47+C47+D47+E47*1)*3600/G47,0)</f>
        <v>4.51125</v>
      </c>
      <c r="I47" s="12">
        <f>iferror((B47+C47+D47+E47*2)*3600/G47,0)</f>
        <v>6.351</v>
      </c>
      <c r="J47" s="21">
        <f t="shared" ref="J47:J49" si="32">I47/H47</f>
        <v>1.407813799</v>
      </c>
      <c r="K47" s="22">
        <f t="shared" ref="K47:K49" si="33">B47+C47+D47+E47+F47</f>
        <v>0.6015</v>
      </c>
      <c r="L47" s="22">
        <f>B47+C47+D47+E47+F47+E47</f>
        <v>0.8468</v>
      </c>
    </row>
    <row r="48">
      <c r="A48" s="7" t="s">
        <v>54</v>
      </c>
      <c r="B48" s="20">
        <v>0.0</v>
      </c>
      <c r="C48" s="8">
        <v>0.2857</v>
      </c>
      <c r="D48" s="8">
        <v>0.2857</v>
      </c>
      <c r="E48" s="8">
        <v>0.2222</v>
      </c>
      <c r="F48" s="8">
        <v>0.4348</v>
      </c>
      <c r="G48" s="10">
        <v>600.0</v>
      </c>
      <c r="H48" s="12">
        <f>iferror((B48+C48+D48+E48+F48)*3600/G48,0)</f>
        <v>7.3704</v>
      </c>
      <c r="I48" s="18">
        <f t="shared" ref="I48:I49" si="34">iferror((B48+C48+D48+E48+F48*2)*3600/G48,0)</f>
        <v>9.9792</v>
      </c>
      <c r="J48" s="21">
        <f t="shared" si="32"/>
        <v>1.353956366</v>
      </c>
      <c r="K48" s="22">
        <f t="shared" si="33"/>
        <v>1.2284</v>
      </c>
      <c r="L48" s="22">
        <f t="shared" ref="L48:L49" si="35">B48+C48+D48+E48+F48+F48</f>
        <v>1.6632</v>
      </c>
    </row>
    <row r="49">
      <c r="A49" s="7" t="s">
        <v>55</v>
      </c>
      <c r="B49" s="20">
        <v>0.0</v>
      </c>
      <c r="C49" s="8">
        <v>0.2857</v>
      </c>
      <c r="D49" s="8">
        <v>0.2857</v>
      </c>
      <c r="E49" s="8">
        <v>0.2222</v>
      </c>
      <c r="F49" s="8">
        <v>0.4348</v>
      </c>
      <c r="G49" s="25">
        <v>600.0</v>
      </c>
      <c r="H49" s="26">
        <f>iferror((B49+C49+D49+E49+F49*1)*3600/G49,0)</f>
        <v>7.3704</v>
      </c>
      <c r="I49" s="33">
        <f t="shared" si="34"/>
        <v>9.9792</v>
      </c>
      <c r="J49" s="28">
        <f t="shared" si="32"/>
        <v>1.353956366</v>
      </c>
      <c r="K49" s="22">
        <f t="shared" si="33"/>
        <v>1.2284</v>
      </c>
      <c r="L49" s="22">
        <f t="shared" si="35"/>
        <v>1.6632</v>
      </c>
    </row>
    <row r="51">
      <c r="A51" s="2" t="s">
        <v>67</v>
      </c>
      <c r="C51" s="5" t="s">
        <v>68</v>
      </c>
      <c r="D51" s="5" t="s">
        <v>69</v>
      </c>
      <c r="E51" s="23" t="s">
        <v>70</v>
      </c>
    </row>
    <row r="52">
      <c r="A52" s="7" t="s">
        <v>40</v>
      </c>
      <c r="B52" s="8">
        <v>0.087</v>
      </c>
      <c r="C52" s="12">
        <f t="shared" ref="C52:C56" si="36">B52*3600/240</f>
        <v>1.305</v>
      </c>
      <c r="D52" s="12">
        <f t="shared" ref="D52:D56" si="37">B52*3600/300</f>
        <v>1.044</v>
      </c>
    </row>
    <row r="53">
      <c r="A53" s="7" t="s">
        <v>42</v>
      </c>
      <c r="B53" s="8">
        <v>0.0847</v>
      </c>
      <c r="C53" s="12">
        <f t="shared" si="36"/>
        <v>1.2705</v>
      </c>
      <c r="D53" s="12">
        <f t="shared" si="37"/>
        <v>1.0164</v>
      </c>
    </row>
    <row r="54">
      <c r="A54" s="7" t="s">
        <v>61</v>
      </c>
      <c r="B54" s="8">
        <v>0.0873</v>
      </c>
      <c r="C54" s="12">
        <f t="shared" si="36"/>
        <v>1.3095</v>
      </c>
      <c r="D54" s="12">
        <f t="shared" si="37"/>
        <v>1.0476</v>
      </c>
    </row>
    <row r="55">
      <c r="A55" s="7" t="s">
        <v>62</v>
      </c>
      <c r="B55" s="8">
        <v>0.1234</v>
      </c>
      <c r="C55" s="12">
        <f t="shared" si="36"/>
        <v>1.851</v>
      </c>
      <c r="D55" s="12">
        <f t="shared" si="37"/>
        <v>1.4808</v>
      </c>
    </row>
    <row r="56">
      <c r="A56" s="7" t="s">
        <v>54</v>
      </c>
      <c r="B56" s="8">
        <v>0.1234</v>
      </c>
      <c r="C56" s="12">
        <f t="shared" si="36"/>
        <v>1.851</v>
      </c>
      <c r="D56" s="12">
        <f t="shared" si="37"/>
        <v>1.4808</v>
      </c>
    </row>
    <row r="57">
      <c r="A57" s="37"/>
      <c r="B57" s="1"/>
    </row>
    <row r="58">
      <c r="A58" s="37"/>
      <c r="B58" s="1"/>
    </row>
    <row r="59">
      <c r="A59" s="37"/>
      <c r="B59" s="1"/>
    </row>
    <row r="60">
      <c r="A60" s="38" t="s">
        <v>71</v>
      </c>
      <c r="B60" s="39"/>
    </row>
    <row r="61">
      <c r="A61" s="40" t="s">
        <v>72</v>
      </c>
      <c r="B61" s="39"/>
    </row>
    <row r="62">
      <c r="A62" s="2" t="s">
        <v>73</v>
      </c>
      <c r="B62" s="3" t="s">
        <v>74</v>
      </c>
      <c r="C62" s="4" t="s">
        <v>75</v>
      </c>
    </row>
    <row r="63">
      <c r="A63" s="7" t="s">
        <v>16</v>
      </c>
      <c r="B63" s="16">
        <v>3370.0</v>
      </c>
      <c r="C63" s="10">
        <v>2.0</v>
      </c>
    </row>
    <row r="64">
      <c r="A64" s="7" t="s">
        <v>7</v>
      </c>
      <c r="B64" s="16">
        <v>3610.0</v>
      </c>
      <c r="C64" s="10">
        <v>3.0</v>
      </c>
    </row>
    <row r="65">
      <c r="A65" s="7" t="s">
        <v>26</v>
      </c>
      <c r="B65" s="16">
        <v>5620.0</v>
      </c>
      <c r="C65" s="10">
        <v>6.0</v>
      </c>
    </row>
    <row r="66">
      <c r="A66" s="7" t="s">
        <v>9</v>
      </c>
      <c r="B66" s="16">
        <v>3510.0</v>
      </c>
      <c r="C66" s="10">
        <v>1.0</v>
      </c>
    </row>
    <row r="67">
      <c r="A67" s="7" t="s">
        <v>76</v>
      </c>
      <c r="B67" s="16">
        <v>3780.0</v>
      </c>
      <c r="C67" s="10">
        <v>2.0</v>
      </c>
    </row>
    <row r="68">
      <c r="A68" s="7" t="s">
        <v>76</v>
      </c>
      <c r="B68" s="16">
        <v>3650.0</v>
      </c>
      <c r="C68" s="10">
        <v>2.0</v>
      </c>
    </row>
    <row r="69">
      <c r="A69" s="7" t="s">
        <v>76</v>
      </c>
      <c r="B69" s="16">
        <v>3550.0</v>
      </c>
      <c r="C69" s="10">
        <v>2.0</v>
      </c>
    </row>
    <row r="70">
      <c r="A70" s="7" t="s">
        <v>26</v>
      </c>
      <c r="B70" s="16">
        <v>5600.0</v>
      </c>
      <c r="C70" s="10">
        <v>6.0</v>
      </c>
    </row>
    <row r="71">
      <c r="A71" s="7" t="s">
        <v>26</v>
      </c>
      <c r="B71" s="16">
        <v>5900.0</v>
      </c>
      <c r="C71" s="10">
        <v>6.0</v>
      </c>
    </row>
    <row r="72">
      <c r="A72" s="23" t="s">
        <v>77</v>
      </c>
      <c r="B72" s="41">
        <f t="shared" ref="B72:C72" si="38">SUM(B63:B71)</f>
        <v>38590</v>
      </c>
      <c r="C72" s="41">
        <f t="shared" si="38"/>
        <v>30</v>
      </c>
    </row>
    <row r="73">
      <c r="A73" s="23" t="s">
        <v>78</v>
      </c>
    </row>
    <row r="74">
      <c r="A74" s="23" t="s">
        <v>77</v>
      </c>
      <c r="B74" s="41">
        <f>B72*1.5</f>
        <v>57885</v>
      </c>
    </row>
    <row r="76">
      <c r="A76" s="23" t="s">
        <v>79</v>
      </c>
    </row>
    <row r="77">
      <c r="A77" s="23" t="s">
        <v>80</v>
      </c>
    </row>
    <row r="78">
      <c r="A78" s="23" t="s">
        <v>81</v>
      </c>
    </row>
    <row r="79">
      <c r="A79" s="23" t="s">
        <v>82</v>
      </c>
    </row>
    <row r="80">
      <c r="A80" s="42" t="s">
        <v>83</v>
      </c>
    </row>
    <row r="82">
      <c r="A82" s="42" t="s">
        <v>84</v>
      </c>
    </row>
    <row r="83">
      <c r="A83" s="23" t="s">
        <v>85</v>
      </c>
    </row>
    <row r="84">
      <c r="A84" s="23" t="s">
        <v>86</v>
      </c>
    </row>
    <row r="85">
      <c r="A85" s="23" t="s">
        <v>87</v>
      </c>
    </row>
    <row r="86">
      <c r="A86" s="23" t="s">
        <v>88</v>
      </c>
    </row>
    <row r="87">
      <c r="A87" s="23" t="s">
        <v>89</v>
      </c>
    </row>
    <row r="88">
      <c r="A88" s="23" t="s">
        <v>90</v>
      </c>
    </row>
    <row r="89">
      <c r="A89" s="23" t="s">
        <v>91</v>
      </c>
    </row>
    <row r="90">
      <c r="A90" s="42" t="s">
        <v>92</v>
      </c>
    </row>
    <row r="92">
      <c r="A92" s="23" t="s">
        <v>93</v>
      </c>
    </row>
    <row r="93">
      <c r="A93" s="23" t="s">
        <v>94</v>
      </c>
    </row>
  </sheetData>
  <mergeCells count="13">
    <mergeCell ref="C67:D67"/>
    <mergeCell ref="C68:D68"/>
    <mergeCell ref="C69:D69"/>
    <mergeCell ref="C70:D70"/>
    <mergeCell ref="C71:D71"/>
    <mergeCell ref="C72:D72"/>
    <mergeCell ref="A2:B2"/>
    <mergeCell ref="E44:F46"/>
    <mergeCell ref="C62:D62"/>
    <mergeCell ref="C63:D63"/>
    <mergeCell ref="C64:D64"/>
    <mergeCell ref="C65:D65"/>
    <mergeCell ref="C66:D66"/>
  </mergeCells>
  <drawing r:id="rId2"/>
  <legacyDrawing r:id="rId3"/>
</worksheet>
</file>