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<sst xmlns="http://schemas.openxmlformats.org/spreadsheetml/2006/main" count="101" uniqueCount="68">
  <si>
    <t>(Perfect shot only)</t>
  </si>
  <si>
    <t>HM Corro</t>
  </si>
  <si>
    <t>MODDED STATS</t>
  </si>
  <si>
    <t>Cloned Alloy</t>
  </si>
  <si>
    <t>Alloy</t>
  </si>
  <si>
    <t>Cloned Ferrite</t>
  </si>
  <si>
    <t>Ferrite</t>
  </si>
  <si>
    <t>Proto Shield</t>
  </si>
  <si>
    <t>Shield</t>
  </si>
  <si>
    <t>Flesh</t>
  </si>
  <si>
    <t>Robotic</t>
  </si>
  <si>
    <t>Fossiziled</t>
  </si>
  <si>
    <t>Fossilized Sinew</t>
  </si>
  <si>
    <t>Sinew</t>
  </si>
  <si>
    <t>Impact</t>
  </si>
  <si>
    <t>Puncture</t>
  </si>
  <si>
    <t>Slash</t>
  </si>
  <si>
    <t>Cold</t>
  </si>
  <si>
    <t>Electric</t>
  </si>
  <si>
    <t>Heat</t>
  </si>
  <si>
    <t>Toxin</t>
  </si>
  <si>
    <t>Blast</t>
  </si>
  <si>
    <t>Vigilante Bonus</t>
  </si>
  <si>
    <t>Without</t>
  </si>
  <si>
    <t>With 1 mod</t>
  </si>
  <si>
    <t>Corrosive</t>
  </si>
  <si>
    <t>Crit Chance</t>
  </si>
  <si>
    <t>Gas</t>
  </si>
  <si>
    <t>Crit Multiplier</t>
  </si>
  <si>
    <t>Magnetic</t>
  </si>
  <si>
    <t>Avg multiplier</t>
  </si>
  <si>
    <t>Radiation</t>
  </si>
  <si>
    <t>Ratio</t>
  </si>
  <si>
    <t>Viral</t>
  </si>
  <si>
    <t>HM</t>
  </si>
  <si>
    <t>Damage</t>
  </si>
  <si>
    <t>Pure % (before arcane)</t>
  </si>
  <si>
    <t>CC</t>
  </si>
  <si>
    <t>Toxin Bypass</t>
  </si>
  <si>
    <t>CD</t>
  </si>
  <si>
    <t>SC</t>
  </si>
  <si>
    <t>MS</t>
  </si>
  <si>
    <t>Faction</t>
  </si>
  <si>
    <t>Slash Proc</t>
  </si>
  <si>
    <t>Steel Path?</t>
  </si>
  <si>
    <t>Target</t>
  </si>
  <si>
    <t>Elite Lancer</t>
  </si>
  <si>
    <t>Heavy Gunner</t>
  </si>
  <si>
    <t>Corpus Tech</t>
  </si>
  <si>
    <t>Crewman</t>
  </si>
  <si>
    <t>Moa</t>
  </si>
  <si>
    <t>Brood Mother</t>
  </si>
  <si>
    <t>Deimos Carnis</t>
  </si>
  <si>
    <t>Level</t>
  </si>
  <si>
    <t>Type</t>
  </si>
  <si>
    <t>None</t>
  </si>
  <si>
    <t>HP</t>
  </si>
  <si>
    <t>Cloned Flesh</t>
  </si>
  <si>
    <t>Fossilized</t>
  </si>
  <si>
    <t>Armor</t>
  </si>
  <si>
    <t>Infested Sinew</t>
  </si>
  <si>
    <t>Shield loss on hit</t>
  </si>
  <si>
    <t>% shield loss</t>
  </si>
  <si>
    <t>Remainder after shield</t>
  </si>
  <si>
    <t>Health loss on hit</t>
  </si>
  <si>
    <t>% health loss</t>
  </si>
  <si>
    <t>Slash proc health %</t>
  </si>
  <si>
    <t>Viral HM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</si>
</sst>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0.0"/>
      <color rgb="FF000000"/>
      <name val="Arial"/>
    </font>
    <font>
      <color theme="1"/>
      <name val="Arial"/>
    </font>
    <font>
      <b/>
    </font>
    <font>
      <i/>
    </font>
    <font/>
    <font>
      <color rgb="FFD9D9D9"/>
      <name val="Arial"/>
    </font>
  </fonts>
  <fills count="9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" xfId="0" applyFont="1" applyNumberFormat="1"/>
    <xf borderId="0" fillId="2" fontId="2" numFmtId="0" xfId="0" applyAlignment="1" applyFill="1" applyFont="1">
      <alignment readingOrder="0"/>
    </xf>
    <xf borderId="0" fillId="3" fontId="3" numFmtId="0" xfId="0" applyAlignment="1" applyFill="1" applyFont="1">
      <alignment readingOrder="0"/>
    </xf>
    <xf borderId="0" fillId="2" fontId="4" numFmtId="0" xfId="0" applyAlignment="1" applyFont="1">
      <alignment readingOrder="0"/>
    </xf>
    <xf borderId="0" fillId="4" fontId="4" numFmtId="9" xfId="0" applyAlignment="1" applyFill="1" applyFont="1" applyNumberFormat="1">
      <alignment readingOrder="0"/>
    </xf>
    <xf borderId="0" fillId="5" fontId="4" numFmtId="9" xfId="0" applyAlignment="1" applyFill="1" applyFont="1" applyNumberFormat="1">
      <alignment readingOrder="0"/>
    </xf>
    <xf borderId="0" fillId="4" fontId="4" numFmtId="0" xfId="0" applyAlignment="1" applyFont="1">
      <alignment readingOrder="0"/>
    </xf>
    <xf borderId="0" fillId="5" fontId="4" numFmtId="0" xfId="0" applyAlignment="1" applyFont="1">
      <alignment readingOrder="0"/>
    </xf>
    <xf borderId="0" fillId="0" fontId="1" numFmtId="0" xfId="0" applyFont="1"/>
    <xf borderId="0" fillId="4" fontId="1" numFmtId="0" xfId="0" applyFont="1"/>
    <xf borderId="0" fillId="5" fontId="1" numFmtId="0" xfId="0" applyFont="1"/>
    <xf borderId="0" fillId="6" fontId="2" numFmtId="0" xfId="0" applyAlignment="1" applyFill="1" applyFont="1">
      <alignment readingOrder="0"/>
    </xf>
    <xf borderId="0" fillId="7" fontId="1" numFmtId="164" xfId="0" applyAlignment="1" applyFill="1" applyFont="1" applyNumberFormat="1">
      <alignment horizontal="center"/>
    </xf>
    <xf borderId="0" fillId="0" fontId="1" numFmtId="3" xfId="0" applyFont="1" applyNumberFormat="1"/>
    <xf borderId="0" fillId="0" fontId="1" numFmtId="9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8" fontId="5" numFmtId="0" xfId="0" applyFill="1" applyFont="1"/>
    <xf borderId="0" fillId="8" fontId="5" numFmtId="0" xfId="0" applyAlignment="1" applyFont="1">
      <alignment readingOrder="0"/>
    </xf>
    <xf borderId="0" fillId="8" fontId="5" numFmtId="9" xfId="0" applyAlignment="1" applyFont="1" applyNumberFormat="1">
      <alignment readingOrder="0"/>
    </xf>
    <xf borderId="0" fillId="0" fontId="1" numFmtId="9" xfId="0" applyFont="1" applyNumberForma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86"/>
    <col customWidth="1" min="3" max="3" width="15.29"/>
    <col hidden="1" min="4" max="6" width="14.43"/>
    <col hidden="1" min="8" max="10" width="14.43"/>
    <col hidden="1" min="12" max="12" width="14.43"/>
    <col hidden="1" min="14" max="14" width="14.43"/>
    <col hidden="1" min="16" max="16" width="14.43"/>
    <col hidden="1" min="18" max="18" width="14.43"/>
    <col hidden="1" min="20" max="20" width="14.43"/>
    <col hidden="1" min="22" max="24" width="14.43"/>
    <col customWidth="1" min="26" max="26" width="15.43"/>
  </cols>
  <sheetData>
    <row r="1">
      <c r="A1" s="1" t="s">
        <v>0</v>
      </c>
      <c r="B1" s="1" t="s">
        <v>1</v>
      </c>
      <c r="E1" s="2">
        <f>B34</f>
        <v>7523.49659</v>
      </c>
      <c r="I1" s="2">
        <f>C34</f>
        <v>19604.3867</v>
      </c>
      <c r="W1" s="2">
        <f>Q34</f>
        <v>2038.869348</v>
      </c>
    </row>
    <row r="2">
      <c r="A2" s="1" t="s">
        <v>2</v>
      </c>
      <c r="C2" s="1" t="s">
        <v>3</v>
      </c>
      <c r="D2" s="1"/>
      <c r="E2" s="1" t="s">
        <v>4</v>
      </c>
      <c r="F2" s="1"/>
      <c r="G2" s="1" t="s">
        <v>5</v>
      </c>
      <c r="H2" s="1"/>
      <c r="I2" s="1" t="s">
        <v>6</v>
      </c>
      <c r="J2" s="1"/>
      <c r="K2" s="1" t="s">
        <v>7</v>
      </c>
      <c r="L2" s="1"/>
      <c r="M2" s="1" t="s">
        <v>8</v>
      </c>
      <c r="N2" s="1"/>
      <c r="O2" s="1" t="s">
        <v>9</v>
      </c>
      <c r="P2" s="1"/>
      <c r="Q2" s="1" t="s">
        <v>10</v>
      </c>
      <c r="R2" s="1"/>
      <c r="S2" s="1" t="s">
        <v>11</v>
      </c>
      <c r="T2" s="1"/>
      <c r="U2" s="1" t="s">
        <v>12</v>
      </c>
      <c r="W2" s="1" t="s">
        <v>13</v>
      </c>
    </row>
    <row r="3">
      <c r="A3" s="1" t="s">
        <v>14</v>
      </c>
      <c r="B3" s="1">
        <v>0.0</v>
      </c>
      <c r="C3" s="2">
        <f t="shared" ref="C3:C15" si="1">$E3*(1+D3)*(1-((1-D3)*C$1)/((1-D3)*C$1+300))</f>
        <v>0</v>
      </c>
      <c r="D3" s="1">
        <v>-0.25</v>
      </c>
      <c r="E3" s="2">
        <f t="shared" ref="E3:E15" si="2">$B3*(1+F3)*(1-((1-F3)*E$1)/((1-F3)*E$1+300))</f>
        <v>0</v>
      </c>
      <c r="F3" s="1">
        <v>0.0</v>
      </c>
      <c r="G3" s="2">
        <f t="shared" ref="G3:G15" si="3">$I3*(1+H3)*(1-((1-H3)*G$1)/((1-H3)*G$1+300))</f>
        <v>0</v>
      </c>
      <c r="H3" s="1">
        <v>-0.25</v>
      </c>
      <c r="I3" s="2">
        <f t="shared" ref="I3:I15" si="4">$B3*(1+J3)*(1-((1-J3)*I$1)/((1-J3)*I$1+300))</f>
        <v>0</v>
      </c>
      <c r="J3" s="1">
        <v>0.0</v>
      </c>
      <c r="K3" s="2">
        <f t="shared" ref="K3:K15" si="5">$B3*(1+L3)*(1-((1-L3)*K$1)/((1-L3)*K$1+300))</f>
        <v>0</v>
      </c>
      <c r="L3" s="1">
        <v>0.15</v>
      </c>
      <c r="M3" s="2">
        <f t="shared" ref="M3:M15" si="6">$B3*(1+N3)*(1-((1-N3)*M$1)/((1-N3)*M$1+300))</f>
        <v>0</v>
      </c>
      <c r="N3" s="1">
        <v>0.5</v>
      </c>
      <c r="O3" s="2">
        <f t="shared" ref="O3:O15" si="7">$B3*(1+P3)*(1-((1-P3)*O$1)/((1-P3)*O$1+300))</f>
        <v>0</v>
      </c>
      <c r="P3" s="1">
        <v>-0.25</v>
      </c>
      <c r="Q3" s="2">
        <f t="shared" ref="Q3:Q15" si="8">$B3*(1+R3)*(1-((1-R3)*Q$1)/((1-R3)*Q$1+300))</f>
        <v>0</v>
      </c>
      <c r="R3" s="1">
        <v>0.0</v>
      </c>
      <c r="S3" s="2">
        <f t="shared" ref="S3:S15" si="9">$B3*(1+T3)*(1-((1-T3)*S$1)/((1-T3)*S$1+300))</f>
        <v>0</v>
      </c>
      <c r="T3" s="1">
        <v>0.0</v>
      </c>
      <c r="U3" s="2">
        <f t="shared" ref="U3:U15" si="10">$W3*(1+V3)*(1-((1-V3)*U$1)/((1-V3)*U$1+300))</f>
        <v>0</v>
      </c>
      <c r="V3" s="1">
        <v>0.0</v>
      </c>
      <c r="W3" s="2">
        <f t="shared" ref="W3:W15" si="11">$B3*(1+V3)*(1-((1-V3)*W$1)/((1-V3)*W$1+300))</f>
        <v>0</v>
      </c>
      <c r="X3" s="1">
        <v>0.0</v>
      </c>
    </row>
    <row r="4">
      <c r="A4" s="1" t="s">
        <v>15</v>
      </c>
      <c r="B4" s="1">
        <v>648.0</v>
      </c>
      <c r="C4" s="2">
        <f t="shared" si="1"/>
        <v>33.39222279</v>
      </c>
      <c r="D4" s="1">
        <v>0.0</v>
      </c>
      <c r="E4" s="2">
        <f t="shared" si="2"/>
        <v>33.39222279</v>
      </c>
      <c r="F4" s="1">
        <v>0.15</v>
      </c>
      <c r="G4" s="2">
        <f t="shared" si="3"/>
        <v>28.86501871</v>
      </c>
      <c r="H4" s="1">
        <v>0.0</v>
      </c>
      <c r="I4" s="2">
        <f t="shared" si="4"/>
        <v>28.86501871</v>
      </c>
      <c r="J4" s="1">
        <v>0.5</v>
      </c>
      <c r="K4" s="2">
        <f t="shared" si="5"/>
        <v>324</v>
      </c>
      <c r="L4" s="1">
        <v>-0.5</v>
      </c>
      <c r="M4" s="2">
        <f t="shared" si="6"/>
        <v>518.4</v>
      </c>
      <c r="N4" s="1">
        <v>-0.2</v>
      </c>
      <c r="O4" s="2">
        <f t="shared" si="7"/>
        <v>648</v>
      </c>
      <c r="P4" s="1">
        <v>0.0</v>
      </c>
      <c r="Q4" s="2">
        <f t="shared" si="8"/>
        <v>810</v>
      </c>
      <c r="R4" s="1">
        <v>0.25</v>
      </c>
      <c r="S4" s="2">
        <f t="shared" si="9"/>
        <v>648</v>
      </c>
      <c r="T4" s="1">
        <v>0.0</v>
      </c>
      <c r="U4" s="2">
        <f t="shared" si="10"/>
        <v>83.11708396</v>
      </c>
      <c r="V4" s="1">
        <v>0.0</v>
      </c>
      <c r="W4" s="2">
        <f t="shared" si="11"/>
        <v>83.11708396</v>
      </c>
      <c r="X4" s="1">
        <v>0.25</v>
      </c>
    </row>
    <row r="5">
      <c r="A5" s="1" t="s">
        <v>16</v>
      </c>
      <c r="B5" s="1">
        <v>252.0</v>
      </c>
      <c r="C5" s="2">
        <f t="shared" si="1"/>
        <v>4.078463638</v>
      </c>
      <c r="D5" s="1">
        <v>0.25</v>
      </c>
      <c r="E5" s="2">
        <f t="shared" si="2"/>
        <v>3.26277091</v>
      </c>
      <c r="F5" s="1">
        <v>-0.5</v>
      </c>
      <c r="G5" s="2">
        <f t="shared" si="3"/>
        <v>3.516079791</v>
      </c>
      <c r="H5" s="1">
        <v>0.25</v>
      </c>
      <c r="I5" s="2">
        <f t="shared" si="4"/>
        <v>2.812863833</v>
      </c>
      <c r="J5" s="1">
        <v>-0.15</v>
      </c>
      <c r="K5" s="2">
        <f t="shared" si="5"/>
        <v>252</v>
      </c>
      <c r="L5" s="1">
        <v>0.0</v>
      </c>
      <c r="M5" s="2">
        <f t="shared" si="6"/>
        <v>252</v>
      </c>
      <c r="N5" s="1">
        <v>0.0</v>
      </c>
      <c r="O5" s="2">
        <f t="shared" si="7"/>
        <v>315</v>
      </c>
      <c r="P5" s="1">
        <v>0.25</v>
      </c>
      <c r="Q5" s="2">
        <f t="shared" si="8"/>
        <v>189</v>
      </c>
      <c r="R5" s="1">
        <v>-0.25</v>
      </c>
      <c r="S5" s="2">
        <f t="shared" si="9"/>
        <v>289.8</v>
      </c>
      <c r="T5" s="1">
        <v>0.15</v>
      </c>
      <c r="U5" s="2">
        <f t="shared" si="10"/>
        <v>49.17810364</v>
      </c>
      <c r="V5" s="1">
        <v>0.15</v>
      </c>
      <c r="W5" s="2">
        <f t="shared" si="11"/>
        <v>42.76356838</v>
      </c>
      <c r="X5" s="1">
        <v>0.0</v>
      </c>
    </row>
    <row r="6">
      <c r="A6" s="1" t="s">
        <v>17</v>
      </c>
      <c r="B6" s="1">
        <v>0.0</v>
      </c>
      <c r="C6" s="2">
        <f t="shared" si="1"/>
        <v>0</v>
      </c>
      <c r="D6" s="1">
        <v>0.0</v>
      </c>
      <c r="E6" s="2">
        <f t="shared" si="2"/>
        <v>0</v>
      </c>
      <c r="F6" s="1">
        <v>0.25</v>
      </c>
      <c r="G6" s="2">
        <f t="shared" si="3"/>
        <v>0</v>
      </c>
      <c r="H6" s="1">
        <v>0.0</v>
      </c>
      <c r="I6" s="2">
        <f t="shared" si="4"/>
        <v>0</v>
      </c>
      <c r="J6" s="1">
        <v>0.0</v>
      </c>
      <c r="K6" s="2">
        <f t="shared" si="5"/>
        <v>0</v>
      </c>
      <c r="L6" s="1">
        <v>0.0</v>
      </c>
      <c r="M6" s="2">
        <f t="shared" si="6"/>
        <v>0</v>
      </c>
      <c r="N6" s="1">
        <v>0.5</v>
      </c>
      <c r="O6" s="2">
        <f t="shared" si="7"/>
        <v>0</v>
      </c>
      <c r="P6" s="1">
        <v>0.0</v>
      </c>
      <c r="Q6" s="2">
        <f t="shared" si="8"/>
        <v>0</v>
      </c>
      <c r="R6" s="1">
        <v>0.0</v>
      </c>
      <c r="S6" s="2">
        <f t="shared" si="9"/>
        <v>0</v>
      </c>
      <c r="T6" s="1">
        <v>-0.25</v>
      </c>
      <c r="U6" s="2">
        <f t="shared" si="10"/>
        <v>0</v>
      </c>
      <c r="V6" s="1">
        <v>-0.25</v>
      </c>
      <c r="W6" s="2">
        <f t="shared" si="11"/>
        <v>0</v>
      </c>
      <c r="X6" s="1">
        <v>0.25</v>
      </c>
    </row>
    <row r="7">
      <c r="A7" s="1" t="s">
        <v>18</v>
      </c>
      <c r="B7" s="1">
        <v>0.0</v>
      </c>
      <c r="C7" s="2">
        <f t="shared" si="1"/>
        <v>0</v>
      </c>
      <c r="D7" s="1">
        <v>0.0</v>
      </c>
      <c r="E7" s="2">
        <f t="shared" si="2"/>
        <v>0</v>
      </c>
      <c r="F7" s="1">
        <v>-0.5</v>
      </c>
      <c r="G7" s="2">
        <f t="shared" si="3"/>
        <v>0</v>
      </c>
      <c r="H7" s="1">
        <v>0.0</v>
      </c>
      <c r="I7" s="2">
        <f t="shared" si="4"/>
        <v>0</v>
      </c>
      <c r="J7" s="1">
        <v>0.0</v>
      </c>
      <c r="K7" s="2">
        <f t="shared" si="5"/>
        <v>0</v>
      </c>
      <c r="L7" s="1">
        <v>0.0</v>
      </c>
      <c r="M7" s="2">
        <f t="shared" si="6"/>
        <v>0</v>
      </c>
      <c r="N7" s="1">
        <v>0.0</v>
      </c>
      <c r="O7" s="2">
        <f t="shared" si="7"/>
        <v>0</v>
      </c>
      <c r="P7" s="1">
        <v>0.0</v>
      </c>
      <c r="Q7" s="2">
        <f t="shared" si="8"/>
        <v>0</v>
      </c>
      <c r="R7" s="1">
        <v>0.5</v>
      </c>
      <c r="S7" s="2">
        <f t="shared" si="9"/>
        <v>0</v>
      </c>
      <c r="T7" s="1">
        <v>0.0</v>
      </c>
      <c r="U7" s="2">
        <f t="shared" si="10"/>
        <v>0</v>
      </c>
      <c r="V7" s="1">
        <v>0.0</v>
      </c>
      <c r="W7" s="2">
        <f t="shared" si="11"/>
        <v>0</v>
      </c>
      <c r="X7" s="1">
        <v>0.0</v>
      </c>
    </row>
    <row r="8">
      <c r="A8" s="1" t="s">
        <v>19</v>
      </c>
      <c r="B8" s="1">
        <v>0.0</v>
      </c>
      <c r="C8" s="2">
        <f t="shared" si="1"/>
        <v>0</v>
      </c>
      <c r="D8" s="1">
        <v>0.25</v>
      </c>
      <c r="E8" s="2">
        <f t="shared" si="2"/>
        <v>0</v>
      </c>
      <c r="F8" s="1">
        <v>0.0</v>
      </c>
      <c r="G8" s="2">
        <f t="shared" si="3"/>
        <v>0</v>
      </c>
      <c r="H8" s="1">
        <v>0.25</v>
      </c>
      <c r="I8" s="2">
        <f t="shared" si="4"/>
        <v>0</v>
      </c>
      <c r="J8" s="1">
        <v>0.0</v>
      </c>
      <c r="K8" s="2">
        <f t="shared" si="5"/>
        <v>0</v>
      </c>
      <c r="L8" s="1">
        <v>-0.5</v>
      </c>
      <c r="M8" s="2">
        <f t="shared" si="6"/>
        <v>0</v>
      </c>
      <c r="N8" s="1">
        <v>0.0</v>
      </c>
      <c r="O8" s="2">
        <f t="shared" si="7"/>
        <v>0</v>
      </c>
      <c r="P8" s="1">
        <v>0.0</v>
      </c>
      <c r="Q8" s="2">
        <f t="shared" si="8"/>
        <v>0</v>
      </c>
      <c r="R8" s="1">
        <v>0.0</v>
      </c>
      <c r="S8" s="2">
        <f t="shared" si="9"/>
        <v>0</v>
      </c>
      <c r="T8" s="1">
        <v>0.0</v>
      </c>
      <c r="U8" s="2">
        <f t="shared" si="10"/>
        <v>0</v>
      </c>
      <c r="V8" s="1">
        <v>0.0</v>
      </c>
      <c r="W8" s="2">
        <f t="shared" si="11"/>
        <v>0</v>
      </c>
      <c r="X8" s="1">
        <v>0.0</v>
      </c>
    </row>
    <row r="9">
      <c r="A9" s="1" t="s">
        <v>20</v>
      </c>
      <c r="B9" s="1">
        <v>0.0</v>
      </c>
      <c r="C9" s="2">
        <f t="shared" si="1"/>
        <v>0</v>
      </c>
      <c r="D9" s="1">
        <v>0.0</v>
      </c>
      <c r="E9" s="2">
        <f t="shared" si="2"/>
        <v>0</v>
      </c>
      <c r="F9" s="1">
        <v>0.0</v>
      </c>
      <c r="G9" s="2">
        <f t="shared" si="3"/>
        <v>0</v>
      </c>
      <c r="H9" s="1">
        <v>0.0</v>
      </c>
      <c r="I9" s="2">
        <f t="shared" si="4"/>
        <v>0</v>
      </c>
      <c r="J9" s="1">
        <v>0.0</v>
      </c>
      <c r="K9" s="2">
        <f t="shared" si="5"/>
        <v>0</v>
      </c>
      <c r="L9" s="1">
        <v>-1.0</v>
      </c>
      <c r="M9" s="2">
        <f t="shared" si="6"/>
        <v>0</v>
      </c>
      <c r="N9" s="1">
        <v>-1.0</v>
      </c>
      <c r="O9" s="2">
        <f t="shared" si="7"/>
        <v>0</v>
      </c>
      <c r="P9" s="1">
        <v>0.5</v>
      </c>
      <c r="Q9" s="2">
        <f t="shared" si="8"/>
        <v>0</v>
      </c>
      <c r="R9" s="1">
        <v>-0.25</v>
      </c>
      <c r="S9" s="2">
        <f t="shared" si="9"/>
        <v>0</v>
      </c>
      <c r="T9" s="1">
        <v>-0.5</v>
      </c>
      <c r="U9" s="2">
        <f t="shared" si="10"/>
        <v>0</v>
      </c>
      <c r="V9" s="1">
        <v>-0.5</v>
      </c>
      <c r="W9" s="2">
        <f t="shared" si="11"/>
        <v>0</v>
      </c>
      <c r="X9" s="1">
        <v>0.0</v>
      </c>
    </row>
    <row r="10">
      <c r="A10" s="1" t="s">
        <v>21</v>
      </c>
      <c r="B10" s="1">
        <v>0.0</v>
      </c>
      <c r="C10" s="2">
        <f t="shared" si="1"/>
        <v>0</v>
      </c>
      <c r="D10" s="1">
        <v>0.0</v>
      </c>
      <c r="E10" s="2">
        <f t="shared" si="2"/>
        <v>0</v>
      </c>
      <c r="F10" s="1">
        <v>0.0</v>
      </c>
      <c r="G10" s="2">
        <f t="shared" si="3"/>
        <v>0</v>
      </c>
      <c r="H10" s="1">
        <v>0.0</v>
      </c>
      <c r="I10" s="2">
        <f t="shared" si="4"/>
        <v>0</v>
      </c>
      <c r="J10" s="1">
        <v>-0.25</v>
      </c>
      <c r="K10" s="2">
        <f t="shared" si="5"/>
        <v>0</v>
      </c>
      <c r="L10" s="1">
        <v>0.0</v>
      </c>
      <c r="M10" s="2">
        <f t="shared" si="6"/>
        <v>0</v>
      </c>
      <c r="N10" s="1">
        <v>0.0</v>
      </c>
      <c r="O10" s="2">
        <f t="shared" si="7"/>
        <v>0</v>
      </c>
      <c r="P10" s="1">
        <v>0.0</v>
      </c>
      <c r="Q10" s="2">
        <f t="shared" si="8"/>
        <v>0</v>
      </c>
      <c r="R10" s="1">
        <v>0.0</v>
      </c>
      <c r="S10" s="2">
        <f t="shared" si="9"/>
        <v>0</v>
      </c>
      <c r="T10" s="1">
        <v>0.5</v>
      </c>
      <c r="U10" s="2">
        <f t="shared" si="10"/>
        <v>0</v>
      </c>
      <c r="V10" s="1">
        <v>0.5</v>
      </c>
      <c r="W10" s="2">
        <f t="shared" si="11"/>
        <v>0</v>
      </c>
      <c r="X10" s="1">
        <v>-0.5</v>
      </c>
      <c r="Z10" s="3" t="s">
        <v>22</v>
      </c>
      <c r="AA10" s="4" t="s">
        <v>23</v>
      </c>
      <c r="AB10" s="4" t="s">
        <v>24</v>
      </c>
    </row>
    <row r="11">
      <c r="A11" s="1" t="s">
        <v>25</v>
      </c>
      <c r="B11" s="1">
        <v>0.0</v>
      </c>
      <c r="C11" s="2">
        <f t="shared" si="1"/>
        <v>0</v>
      </c>
      <c r="D11" s="1">
        <v>0.0</v>
      </c>
      <c r="E11" s="2">
        <f t="shared" si="2"/>
        <v>0</v>
      </c>
      <c r="F11" s="1">
        <v>0.0</v>
      </c>
      <c r="G11" s="2">
        <f t="shared" si="3"/>
        <v>0</v>
      </c>
      <c r="H11" s="1">
        <v>0.0</v>
      </c>
      <c r="I11" s="2">
        <f t="shared" si="4"/>
        <v>0</v>
      </c>
      <c r="J11" s="1">
        <v>0.75</v>
      </c>
      <c r="K11" s="2">
        <f t="shared" si="5"/>
        <v>0</v>
      </c>
      <c r="L11" s="1">
        <v>-0.5</v>
      </c>
      <c r="M11" s="2">
        <f t="shared" si="6"/>
        <v>0</v>
      </c>
      <c r="N11" s="1">
        <v>0.0</v>
      </c>
      <c r="O11" s="2">
        <f t="shared" si="7"/>
        <v>0</v>
      </c>
      <c r="P11" s="1">
        <v>0.0</v>
      </c>
      <c r="Q11" s="2">
        <f t="shared" si="8"/>
        <v>0</v>
      </c>
      <c r="R11" s="1">
        <v>0.0</v>
      </c>
      <c r="S11" s="2">
        <f t="shared" si="9"/>
        <v>0</v>
      </c>
      <c r="T11" s="1">
        <v>0.75</v>
      </c>
      <c r="U11" s="2">
        <f t="shared" si="10"/>
        <v>0</v>
      </c>
      <c r="V11" s="1">
        <v>0.75</v>
      </c>
      <c r="W11" s="2">
        <f t="shared" si="11"/>
        <v>0</v>
      </c>
      <c r="X11" s="1">
        <v>0.0</v>
      </c>
      <c r="Z11" s="5" t="s">
        <v>26</v>
      </c>
      <c r="AA11" s="6">
        <v>1.8</v>
      </c>
      <c r="AB11" s="7">
        <v>1.85</v>
      </c>
    </row>
    <row r="12">
      <c r="A12" s="1" t="s">
        <v>27</v>
      </c>
      <c r="B12" s="1">
        <v>0.0</v>
      </c>
      <c r="C12" s="2">
        <f t="shared" si="1"/>
        <v>0</v>
      </c>
      <c r="D12" s="1">
        <v>-0.5</v>
      </c>
      <c r="E12" s="2">
        <f t="shared" si="2"/>
        <v>0</v>
      </c>
      <c r="F12" s="1">
        <v>0.0</v>
      </c>
      <c r="G12" s="2">
        <f t="shared" si="3"/>
        <v>0</v>
      </c>
      <c r="H12" s="1">
        <v>-0.5</v>
      </c>
      <c r="I12" s="2">
        <f t="shared" si="4"/>
        <v>0</v>
      </c>
      <c r="J12" s="1">
        <v>0.0</v>
      </c>
      <c r="K12" s="2">
        <f t="shared" si="5"/>
        <v>0</v>
      </c>
      <c r="L12" s="1">
        <v>0.0</v>
      </c>
      <c r="M12" s="2">
        <f t="shared" si="6"/>
        <v>0</v>
      </c>
      <c r="N12" s="1">
        <v>0.0</v>
      </c>
      <c r="O12" s="2">
        <f t="shared" si="7"/>
        <v>0</v>
      </c>
      <c r="P12" s="1">
        <v>-0.25</v>
      </c>
      <c r="Q12" s="2">
        <f t="shared" si="8"/>
        <v>0</v>
      </c>
      <c r="R12" s="1">
        <v>0.0</v>
      </c>
      <c r="S12" s="2">
        <f t="shared" si="9"/>
        <v>0</v>
      </c>
      <c r="T12" s="1">
        <v>0.0</v>
      </c>
      <c r="U12" s="2">
        <f t="shared" si="10"/>
        <v>0</v>
      </c>
      <c r="V12" s="1">
        <v>0.0</v>
      </c>
      <c r="W12" s="2">
        <f t="shared" si="11"/>
        <v>0</v>
      </c>
      <c r="X12" s="1">
        <v>0.0</v>
      </c>
      <c r="Z12" s="5" t="s">
        <v>28</v>
      </c>
      <c r="AA12" s="8">
        <v>5.3</v>
      </c>
      <c r="AB12" s="9">
        <v>5.3</v>
      </c>
    </row>
    <row r="13">
      <c r="A13" s="1" t="s">
        <v>29</v>
      </c>
      <c r="B13" s="1">
        <v>0.0</v>
      </c>
      <c r="C13" s="2">
        <f t="shared" si="1"/>
        <v>0</v>
      </c>
      <c r="D13" s="1">
        <v>0.0</v>
      </c>
      <c r="E13" s="2">
        <f t="shared" si="2"/>
        <v>0</v>
      </c>
      <c r="F13" s="1">
        <v>-0.5</v>
      </c>
      <c r="G13" s="2">
        <f t="shared" si="3"/>
        <v>0</v>
      </c>
      <c r="H13" s="1">
        <v>0.0</v>
      </c>
      <c r="I13" s="2">
        <f t="shared" si="4"/>
        <v>0</v>
      </c>
      <c r="J13" s="1">
        <v>0.0</v>
      </c>
      <c r="K13" s="2">
        <f t="shared" si="5"/>
        <v>0</v>
      </c>
      <c r="L13" s="10">
        <f>0.75</f>
        <v>0.75</v>
      </c>
      <c r="M13" s="2">
        <f t="shared" si="6"/>
        <v>0</v>
      </c>
      <c r="N13" s="1">
        <v>0.75</v>
      </c>
      <c r="O13" s="2">
        <f t="shared" si="7"/>
        <v>0</v>
      </c>
      <c r="P13" s="1">
        <v>0.0</v>
      </c>
      <c r="Q13" s="2">
        <f t="shared" si="8"/>
        <v>0</v>
      </c>
      <c r="R13" s="1">
        <v>0.0</v>
      </c>
      <c r="S13" s="2">
        <f t="shared" si="9"/>
        <v>0</v>
      </c>
      <c r="T13" s="1">
        <v>0.0</v>
      </c>
      <c r="U13" s="2">
        <f t="shared" si="10"/>
        <v>0</v>
      </c>
      <c r="V13" s="1">
        <v>0.0</v>
      </c>
      <c r="W13" s="2">
        <f t="shared" si="11"/>
        <v>0</v>
      </c>
      <c r="X13" s="1">
        <v>0.0</v>
      </c>
      <c r="Z13" s="5" t="s">
        <v>30</v>
      </c>
      <c r="AA13" s="11">
        <f t="shared" ref="AA13:AB13" si="12">1+AA11*(AA12-1)</f>
        <v>8.74</v>
      </c>
      <c r="AB13" s="12">
        <f t="shared" si="12"/>
        <v>8.955</v>
      </c>
    </row>
    <row r="14">
      <c r="A14" s="1" t="s">
        <v>31</v>
      </c>
      <c r="B14" s="1">
        <v>0.0</v>
      </c>
      <c r="C14" s="2">
        <f t="shared" si="1"/>
        <v>0</v>
      </c>
      <c r="D14" s="1">
        <v>0.0</v>
      </c>
      <c r="E14" s="2">
        <f t="shared" si="2"/>
        <v>0</v>
      </c>
      <c r="F14" s="10">
        <f>0.75</f>
        <v>0.75</v>
      </c>
      <c r="G14" s="2">
        <f t="shared" si="3"/>
        <v>0</v>
      </c>
      <c r="H14" s="1">
        <v>0.0</v>
      </c>
      <c r="I14" s="2">
        <f t="shared" si="4"/>
        <v>0</v>
      </c>
      <c r="J14" s="1">
        <v>0.0</v>
      </c>
      <c r="K14" s="2">
        <f t="shared" si="5"/>
        <v>0</v>
      </c>
      <c r="L14" s="1">
        <v>0.0</v>
      </c>
      <c r="M14" s="2">
        <f t="shared" si="6"/>
        <v>0</v>
      </c>
      <c r="N14" s="1">
        <v>-0.25</v>
      </c>
      <c r="O14" s="2">
        <f t="shared" si="7"/>
        <v>0</v>
      </c>
      <c r="P14" s="1">
        <v>0.0</v>
      </c>
      <c r="Q14" s="2">
        <f t="shared" si="8"/>
        <v>0</v>
      </c>
      <c r="R14" s="1">
        <v>0.25</v>
      </c>
      <c r="S14" s="2">
        <f t="shared" si="9"/>
        <v>0</v>
      </c>
      <c r="T14" s="1">
        <v>-0.75</v>
      </c>
      <c r="U14" s="2">
        <f t="shared" si="10"/>
        <v>0</v>
      </c>
      <c r="V14" s="1">
        <v>-0.75</v>
      </c>
      <c r="W14" s="2">
        <f t="shared" si="11"/>
        <v>0</v>
      </c>
      <c r="X14" s="1">
        <v>0.5</v>
      </c>
      <c r="Z14" s="13" t="s">
        <v>32</v>
      </c>
      <c r="AA14" s="14">
        <f>AB13/AA13</f>
        <v>1.024599542</v>
      </c>
    </row>
    <row r="15">
      <c r="A15" s="1" t="s">
        <v>33</v>
      </c>
      <c r="B15" s="1">
        <v>1080.0</v>
      </c>
      <c r="C15" s="2">
        <f t="shared" si="1"/>
        <v>72.47398825</v>
      </c>
      <c r="D15" s="1">
        <v>0.75</v>
      </c>
      <c r="E15" s="2">
        <f t="shared" si="2"/>
        <v>41.41370757</v>
      </c>
      <c r="F15" s="1">
        <v>0.0</v>
      </c>
      <c r="G15" s="2">
        <f t="shared" si="3"/>
        <v>28.4861829</v>
      </c>
      <c r="H15" s="1">
        <v>0.75</v>
      </c>
      <c r="I15" s="2">
        <f t="shared" si="4"/>
        <v>16.2778188</v>
      </c>
      <c r="J15" s="1">
        <v>0.0</v>
      </c>
      <c r="K15" s="2">
        <f t="shared" si="5"/>
        <v>1080</v>
      </c>
      <c r="L15" s="1">
        <v>0.0</v>
      </c>
      <c r="M15" s="2">
        <f t="shared" si="6"/>
        <v>1080</v>
      </c>
      <c r="N15" s="1">
        <v>0.0</v>
      </c>
      <c r="O15" s="2">
        <f t="shared" si="7"/>
        <v>1620</v>
      </c>
      <c r="P15" s="1">
        <v>0.5</v>
      </c>
      <c r="Q15" s="2">
        <f t="shared" si="8"/>
        <v>1080</v>
      </c>
      <c r="R15" s="1">
        <v>0.0</v>
      </c>
      <c r="S15" s="2">
        <f t="shared" si="9"/>
        <v>1080</v>
      </c>
      <c r="T15" s="1">
        <v>0.0</v>
      </c>
      <c r="U15" s="2">
        <f t="shared" si="10"/>
        <v>138.5284733</v>
      </c>
      <c r="V15" s="1">
        <v>0.0</v>
      </c>
      <c r="W15" s="2">
        <f t="shared" si="11"/>
        <v>138.5284733</v>
      </c>
      <c r="X15" s="1">
        <v>0.0</v>
      </c>
    </row>
    <row r="16">
      <c r="A16" s="1" t="s">
        <v>34</v>
      </c>
      <c r="B16" s="1">
        <v>0.0</v>
      </c>
    </row>
    <row r="17">
      <c r="C17" s="1" t="s">
        <v>35</v>
      </c>
    </row>
    <row r="18">
      <c r="A18" s="1" t="s">
        <v>36</v>
      </c>
      <c r="B18" s="1">
        <v>1.65</v>
      </c>
      <c r="C18" s="15">
        <f>sum(C3:C15)/(1+B18)*(1+3.6+$B$18)*(1+$B$19/100*($B$20-1))*$B$22*$B$23</f>
        <v>4113.357002</v>
      </c>
      <c r="D18" s="15">
        <f t="shared" ref="D18:N18" si="13">sum(D3:D15)*(1+3.6+$B$18)*(1+$B$19/100*($B$20-1))*$B$22*$B$23</f>
        <v>49.5721875</v>
      </c>
      <c r="E18" s="15">
        <f t="shared" si="13"/>
        <v>7740.072595</v>
      </c>
      <c r="F18" s="15">
        <f t="shared" si="13"/>
        <v>-34.70053125</v>
      </c>
      <c r="G18" s="15">
        <f t="shared" si="13"/>
        <v>6034.648572</v>
      </c>
      <c r="H18" s="15">
        <f t="shared" si="13"/>
        <v>49.5721875</v>
      </c>
      <c r="I18" s="15">
        <f t="shared" si="13"/>
        <v>4754.538037</v>
      </c>
      <c r="J18" s="15">
        <f t="shared" si="13"/>
        <v>84.27271875</v>
      </c>
      <c r="K18" s="15">
        <f t="shared" si="13"/>
        <v>164183.085</v>
      </c>
      <c r="L18" s="15">
        <f t="shared" si="13"/>
        <v>-158.631</v>
      </c>
      <c r="M18" s="15">
        <f t="shared" si="13"/>
        <v>183456.7515</v>
      </c>
      <c r="N18" s="15">
        <f t="shared" si="13"/>
        <v>29.7433125</v>
      </c>
      <c r="O18" s="15">
        <f>sum(O3:O15)*(1+3.6+$B$18)*(1+$B$19/100*($B$20-1))*$B$22*$B$23-O20</f>
        <v>256089.9206</v>
      </c>
      <c r="P18" s="15">
        <f>sum(P3:P15)*(1+3.6+$B$18)*(1+$B$19/100*($B$20-1))*$B$22*$B$23</f>
        <v>74.35828125</v>
      </c>
      <c r="Q18" s="15">
        <f>sum(Q3:Q15)*(1+3.6+$B$18)*(1+$B$19/100*($B$20-1))*$B$22*$B$23-Q20</f>
        <v>206121.1556</v>
      </c>
      <c r="R18" s="15">
        <f t="shared" ref="R18:U18" si="14">sum(R3:R15)*(1+3.6+$B$18)*(1+$B$19/100*($B$20-1))*$B$22*$B$23</f>
        <v>49.5721875</v>
      </c>
      <c r="S18" s="15">
        <f t="shared" si="14"/>
        <v>200053.5199</v>
      </c>
      <c r="T18" s="15">
        <f t="shared" si="14"/>
        <v>-9.9144375</v>
      </c>
      <c r="U18" s="15">
        <f t="shared" si="14"/>
        <v>26850.64259</v>
      </c>
    </row>
    <row r="19">
      <c r="A19" s="1" t="s">
        <v>37</v>
      </c>
      <c r="B19" s="1">
        <v>180.0</v>
      </c>
      <c r="O19" s="1" t="s">
        <v>38</v>
      </c>
    </row>
    <row r="20">
      <c r="A20" s="1" t="s">
        <v>39</v>
      </c>
      <c r="B20" s="1">
        <v>5.3</v>
      </c>
      <c r="O20" s="15">
        <f>sum(O9)*(1+3.6+$B$18)*(1+$B$19/100*($B$20-1))*$B$22*$B$23</f>
        <v>0</v>
      </c>
      <c r="P20" s="2"/>
      <c r="Q20" s="15">
        <f>sum(Q9)*(1+3.6+$B$18)*(1+$B$19/100*($B$20-1))*$B$22*$B$23</f>
        <v>0</v>
      </c>
    </row>
    <row r="21">
      <c r="A21" s="1" t="s">
        <v>40</v>
      </c>
      <c r="B21" s="1">
        <v>110.0</v>
      </c>
    </row>
    <row r="22">
      <c r="A22" s="1" t="s">
        <v>41</v>
      </c>
      <c r="B22" s="1">
        <v>3.3</v>
      </c>
    </row>
    <row r="23">
      <c r="A23" s="1" t="s">
        <v>42</v>
      </c>
      <c r="B23" s="16">
        <v>0.55</v>
      </c>
    </row>
    <row r="24">
      <c r="A24" s="1" t="s">
        <v>43</v>
      </c>
      <c r="B24" s="17">
        <f>sum(B3:B5)*0.35*(1+B19/100*(B20-1))*B22*(1+B23)^2</f>
        <v>21827.26508</v>
      </c>
    </row>
    <row r="25">
      <c r="B25" s="17"/>
    </row>
    <row r="27">
      <c r="A27" s="1" t="s">
        <v>44</v>
      </c>
      <c r="B27" s="1">
        <v>1.0</v>
      </c>
    </row>
    <row r="28">
      <c r="A28" s="1" t="s">
        <v>45</v>
      </c>
      <c r="B28" s="1" t="s">
        <v>46</v>
      </c>
      <c r="C28" s="1" t="s">
        <v>47</v>
      </c>
      <c r="D28" s="1"/>
      <c r="F28" s="1"/>
      <c r="G28" s="1" t="s">
        <v>48</v>
      </c>
      <c r="H28" s="1"/>
      <c r="J28" s="1"/>
      <c r="K28" s="1" t="s">
        <v>49</v>
      </c>
      <c r="M28" s="1" t="s">
        <v>50</v>
      </c>
      <c r="N28" s="1"/>
      <c r="O28" s="1" t="s">
        <v>51</v>
      </c>
      <c r="P28" s="1"/>
      <c r="Q28" s="1" t="s">
        <v>52</v>
      </c>
      <c r="R28" s="1"/>
    </row>
    <row r="29">
      <c r="A29" s="1" t="s">
        <v>53</v>
      </c>
      <c r="B29" s="1">
        <v>130.0</v>
      </c>
      <c r="C29" s="10">
        <f>B29</f>
        <v>130</v>
      </c>
      <c r="G29" s="10">
        <f>C29</f>
        <v>130</v>
      </c>
      <c r="K29" s="10">
        <f>G29</f>
        <v>130</v>
      </c>
      <c r="M29" s="10">
        <f>K29</f>
        <v>130</v>
      </c>
      <c r="O29" s="10">
        <f>M29</f>
        <v>130</v>
      </c>
      <c r="Q29" s="10">
        <f>O29</f>
        <v>130</v>
      </c>
    </row>
    <row r="30">
      <c r="A30" s="1" t="s">
        <v>8</v>
      </c>
      <c r="B30" s="18">
        <f>0*(1+(0.0075*(B29-15)^2)*(1-(min(1,(max(B29,70+15)-(70+15))/15)))+((1+1.6*(B29-15)^0.75)-1)*(min(1,(max(B29,70+15)-(70+15))/15)))*(1+B27*1.5)</f>
        <v>0</v>
      </c>
      <c r="C30" s="18">
        <f>0*(1+(0.0075*(C29-15)^2)*(1-(min(1,(max(C29,70+15)-(70+15))/15)))+((1+1.6*(C29-15)^0.75)-1)*(min(1,(max(C29,70+15)-(70+15))/15)))*(1+B27*1.5)</f>
        <v>0</v>
      </c>
      <c r="D30" s="2"/>
      <c r="F30" s="2"/>
      <c r="G30" s="15">
        <f>250*(1+(0.0075*(G29-15)^2)*(1-(min(1,(max(G29,70+15)-(70+15))/15)))+((1+1.6*(G29-15)^0.75)-1)*(min(1,(max(G29,70+15)-(70+15))/15)))*(1+B27*1.5)</f>
        <v>35742.48295</v>
      </c>
      <c r="H30" s="15"/>
      <c r="I30" s="15"/>
      <c r="J30" s="15"/>
      <c r="K30" s="15">
        <f>150*(1+(0.0075*(K29-1)^2)*(1-(min(1,(max(K29,70+1)-(70+1))/15)))+((1+1.6*(K29-1)^0.75)-1)*(min(1,(max(K29,70+1)-(70+1))/15)))*(1+B27*1.5)</f>
        <v>23341.43218</v>
      </c>
      <c r="L30" s="15"/>
      <c r="M30" s="15">
        <f>150*(1+(0.0075*(M29-1)^2)*(1-(min(1,(max(M29,70+1)-(70+1))/15)))+((1+1.6*(M29-1)^0.75)-1)*(min(1,(max(M29,70+1)-(70+1))/15)))*(1+B27*1.5)</f>
        <v>23341.43218</v>
      </c>
      <c r="N30" s="18"/>
      <c r="O30" s="18">
        <f>0*(1+(0.0075*(O29-15)^2)*(1-(min(1,(max(O29,70+15)-(70+15))/15)))+((1+1.6*(O29-15)^0.75)-1)*(min(1,(max(O29,70+15)-(70+15))/15)))*(1+B27*1.5)</f>
        <v>0</v>
      </c>
      <c r="P30" s="18"/>
      <c r="Q30" s="18">
        <f>0*(1+(0.0075*(Q29-15)^2)*(1-(min(1,(max(Q29,70+15)-(70+15))/15)))+((1+1.6*(Q29-15)^0.75)-1)*(min(1,(max(Q29,70+15)-(70+15))/15)))*(1+B27*1.5)</f>
        <v>0</v>
      </c>
      <c r="R30" s="18"/>
    </row>
    <row r="31">
      <c r="A31" s="1" t="s">
        <v>54</v>
      </c>
      <c r="B31" s="19" t="s">
        <v>55</v>
      </c>
      <c r="C31" s="19" t="s">
        <v>55</v>
      </c>
      <c r="D31" s="1"/>
      <c r="F31" s="1"/>
      <c r="G31" s="1" t="s">
        <v>7</v>
      </c>
      <c r="H31" s="1"/>
      <c r="J31" s="1"/>
      <c r="K31" s="1" t="s">
        <v>8</v>
      </c>
      <c r="M31" s="1" t="s">
        <v>8</v>
      </c>
      <c r="N31" s="19"/>
      <c r="O31" s="19" t="s">
        <v>55</v>
      </c>
      <c r="P31" s="19"/>
      <c r="Q31" s="19" t="s">
        <v>55</v>
      </c>
      <c r="R31" s="19"/>
    </row>
    <row r="32">
      <c r="A32" s="1" t="s">
        <v>56</v>
      </c>
      <c r="B32" s="15">
        <f>150*(1+(0.015*(B29-15)^2)*(1-(min(1,(max(B29,70+15)-(70+15))/15)))+((1+10.7332*(B29-15)^0.5)-1)*(min(1,(max(B29,70+15)-(70+15))/15)))*(1+B27*1.5)</f>
        <v>43537.78012</v>
      </c>
      <c r="C32" s="15">
        <f>700*(1+(0.015*(C29-8)^2)*(1-(min(1,(max(C29,70+8)-(70+15))/15)))+((1+10.7332*(C29-8)^0.5)-1)*(min(1,(max(C29,70+8)-(70+8))/15)))*(1+B27*1.5)</f>
        <v>209216.1205</v>
      </c>
      <c r="D32" s="15"/>
      <c r="E32" s="15"/>
      <c r="F32" s="15"/>
      <c r="G32" s="15">
        <f>700*(1+(0.015*(G29-15)^2)*(1-(min(1,(max(G29,70+15)-(70+15))/15)))+((1+10.7332*(G29-15)^0.5)-1)*(min(1,(max(G29,70+15)-(70+15))/15)))*(1+B27*1.5)</f>
        <v>203176.3072</v>
      </c>
      <c r="H32" s="15"/>
      <c r="I32" s="15"/>
      <c r="J32" s="15"/>
      <c r="K32" s="15">
        <f>60*(1+(0.015*(K29-1)^2)*(1-(min(1,(max(K29,70+1)-(70+1))/15)))+((1+10.7332*(K29-1)^0.5)-1)*(min(1,(max(K29,70+1)-(70+1))/15)))*(1+B27*1.5)</f>
        <v>18435.85772</v>
      </c>
      <c r="L32" s="15"/>
      <c r="M32" s="15">
        <f>60*(1+(0.015*(M29-1)^2)*(1-(min(1,(max(M29,70+1)-(70+1))/15)))+((1+10.7332*(M29-1)^0.5)-1)*(min(1,(max(M29,70+1)-(70+1))/15)))*(1+B27*1.5)</f>
        <v>18435.85772</v>
      </c>
      <c r="N32" s="15"/>
      <c r="O32" s="15">
        <f>700*(1+(0.015*(O29-12)^2)*(1-(min(1,(max(O29,70+12)-(70+12))/15)))+((1+10.7332*(O29-12)^0.5)-1)*(min(1,(max(O29,70+12)-(70+12))/15)))*(1+B27*1.5)</f>
        <v>205786.6922</v>
      </c>
      <c r="P32" s="15"/>
      <c r="Q32" s="15">
        <f>800*(1+(0.015*(Q29-1)^2)*(1-(min(1,(max(Q29,70+1)-(70+1))/15)))+((1+10.7332*(Q29-1)^0.5)-1)*(min(1,(max(Q29,70+1)-(70+1))/15)))*(1+B27*1.5)</f>
        <v>245811.4362</v>
      </c>
      <c r="R32" s="2"/>
    </row>
    <row r="33">
      <c r="A33" s="1" t="s">
        <v>54</v>
      </c>
      <c r="B33" s="1" t="s">
        <v>57</v>
      </c>
      <c r="C33" s="1" t="s">
        <v>57</v>
      </c>
      <c r="D33" s="1"/>
      <c r="F33" s="1"/>
      <c r="G33" s="1" t="s">
        <v>9</v>
      </c>
      <c r="H33" s="1"/>
      <c r="J33" s="1"/>
      <c r="K33" s="1" t="s">
        <v>9</v>
      </c>
      <c r="M33" s="1" t="s">
        <v>10</v>
      </c>
      <c r="N33" s="1"/>
      <c r="O33" s="1" t="s">
        <v>58</v>
      </c>
      <c r="P33" s="1"/>
      <c r="Q33" s="1" t="s">
        <v>58</v>
      </c>
      <c r="R33" s="1"/>
    </row>
    <row r="34">
      <c r="A34" s="1" t="s">
        <v>59</v>
      </c>
      <c r="B34" s="2">
        <f>200*(1+(0.005*(B29-15)^1.75)*(1-(min(1,(max(B29,60+15)-(60+15))/20)))+((1+0.4*(B29-15)^0.75)-1)*(min(1,(max(B29,60+15)-(60+15))/20)))*(1+B27*1.5)</f>
        <v>7523.49659</v>
      </c>
      <c r="C34" s="2">
        <f>500*(1+(0.005*(C29-8)^1.75)*(1-(min(1,(max(C29,60+8)-(60+8))/20)))+((1+0.4*(C29-8)^0.75)-1)*(min(1,(max(C29,60+8)-(60+8))/20)))*(1+B27*1.5)</f>
        <v>19604.3867</v>
      </c>
      <c r="D34" s="18"/>
      <c r="F34" s="18"/>
      <c r="G34" s="18">
        <f>0*(1+(0.005*(G29-15)^1.75)*(1-(min(1,(max(G29,60+15)-(60+15))/20)))+((1+0.4*(G29-15)^0.75)-1)*(min(1,(max(G29,60+15)-(60+15))/20)))*(1+B27*1.5)</f>
        <v>0</v>
      </c>
      <c r="H34" s="18"/>
      <c r="J34" s="18"/>
      <c r="K34" s="18">
        <f>0*(1+(0.005*(K29-15)^1.75)*(1-(min(1,(max(K29,60+15)-(60+15))/20)))+((1+0.4*(K29-15)^0.75)-1)*(min(1,(max(K29,60+15)-(60+15))/20)))*(1+B27*1.5)</f>
        <v>0</v>
      </c>
      <c r="M34" s="18">
        <f>0*(1+(0.005*(M29-15)^1.75)*(1-(min(1,(max(M29,60+15)-(60+15))/20)))+((1+0.4*(M29-15)^0.75)-1)*(min(1,(max(M29,60+15)-(60+15))/20)))*(1+B27*1.5)</f>
        <v>0</v>
      </c>
      <c r="N34" s="18"/>
      <c r="O34" s="18">
        <f>0*(1+(0.005*(O29-15)^1.75)*(1-(min(1,(max(O29,60+15)-(60+15))/20)))+((1+0.4*(O29-15)^0.75)-1)*(min(1,(max(O29,60+15)-(60+15))/20)))*(1+B27*1.5)</f>
        <v>0</v>
      </c>
      <c r="P34" s="18"/>
      <c r="Q34" s="2">
        <f>50*(1+(0.005*(Q29-1)^1.75)*(1-(min(1,(max(Q29,60+1)-(60+1))/20)))+((1+0.4*(Q29-1)^0.75)-1)*(min(1,(max(Q29,60+1)-(60+1))/20)))*(1+B27*1.5)</f>
        <v>2038.869348</v>
      </c>
      <c r="R34" s="2"/>
    </row>
    <row r="35">
      <c r="A35" s="1" t="s">
        <v>54</v>
      </c>
      <c r="B35" s="1" t="s">
        <v>4</v>
      </c>
      <c r="C35" s="1" t="s">
        <v>6</v>
      </c>
      <c r="D35" s="19"/>
      <c r="F35" s="19"/>
      <c r="G35" s="19" t="s">
        <v>55</v>
      </c>
      <c r="H35" s="19"/>
      <c r="J35" s="19"/>
      <c r="K35" s="19" t="s">
        <v>55</v>
      </c>
      <c r="M35" s="19" t="s">
        <v>55</v>
      </c>
      <c r="N35" s="19"/>
      <c r="O35" s="19" t="s">
        <v>55</v>
      </c>
      <c r="P35" s="19"/>
      <c r="Q35" s="1" t="s">
        <v>60</v>
      </c>
      <c r="R35" s="1"/>
    </row>
    <row r="36">
      <c r="A36" s="1" t="s">
        <v>61</v>
      </c>
      <c r="B36" s="19">
        <v>0.0</v>
      </c>
      <c r="C36" s="19">
        <v>0.0</v>
      </c>
      <c r="G36" s="15">
        <f>MIN(G30,K18)</f>
        <v>35742.48295</v>
      </c>
      <c r="K36" s="15">
        <f>MIN(K30,M18)</f>
        <v>23341.43218</v>
      </c>
      <c r="M36" s="15">
        <f>MIN(M30,M18)</f>
        <v>23341.43218</v>
      </c>
      <c r="N36" s="19"/>
      <c r="O36" s="19">
        <v>0.0</v>
      </c>
      <c r="P36" s="19"/>
      <c r="Q36" s="19">
        <v>0.0</v>
      </c>
      <c r="R36" s="19"/>
    </row>
    <row r="37">
      <c r="A37" s="1" t="s">
        <v>62</v>
      </c>
      <c r="B37" s="20">
        <v>1.0</v>
      </c>
      <c r="C37" s="20">
        <v>1.0</v>
      </c>
      <c r="G37" s="21">
        <f t="shared" ref="G37:M37" si="15">G36/G30</f>
        <v>1</v>
      </c>
      <c r="H37" s="21" t="str">
        <f t="shared" si="15"/>
        <v>#DIV/0!</v>
      </c>
      <c r="I37" s="21" t="str">
        <f t="shared" si="15"/>
        <v>#DIV/0!</v>
      </c>
      <c r="J37" s="21" t="str">
        <f t="shared" si="15"/>
        <v>#DIV/0!</v>
      </c>
      <c r="K37" s="21">
        <f t="shared" si="15"/>
        <v>1</v>
      </c>
      <c r="L37" s="21" t="str">
        <f t="shared" si="15"/>
        <v>#DIV/0!</v>
      </c>
      <c r="M37" s="21">
        <f t="shared" si="15"/>
        <v>1</v>
      </c>
      <c r="N37" s="20"/>
      <c r="O37" s="20">
        <v>1.0</v>
      </c>
      <c r="P37" s="20"/>
      <c r="Q37" s="20">
        <v>1.0</v>
      </c>
      <c r="R37" s="20"/>
    </row>
    <row r="38">
      <c r="A38" s="1" t="s">
        <v>63</v>
      </c>
      <c r="B38" s="16">
        <v>1.0</v>
      </c>
      <c r="C38" s="16">
        <v>1.0</v>
      </c>
      <c r="G38" s="22">
        <f>1-(G36/K18)</f>
        <v>0.7823010638</v>
      </c>
      <c r="K38" s="22">
        <f>1-(K36/M18)</f>
        <v>0.872768748</v>
      </c>
      <c r="M38" s="22">
        <f>1-(M36/M18)</f>
        <v>0.872768748</v>
      </c>
      <c r="O38" s="16">
        <v>1.0</v>
      </c>
      <c r="Q38" s="16">
        <v>1.0</v>
      </c>
    </row>
    <row r="39">
      <c r="A39" s="1" t="s">
        <v>64</v>
      </c>
      <c r="B39" s="15">
        <f>C18*B38</f>
        <v>4113.357002</v>
      </c>
      <c r="C39" s="15">
        <f>G18</f>
        <v>6034.648572</v>
      </c>
      <c r="D39" s="15"/>
      <c r="E39" s="15"/>
      <c r="F39" s="15"/>
      <c r="G39" s="15">
        <f>O18*G38+O20</f>
        <v>200339.4173</v>
      </c>
      <c r="H39" s="15"/>
      <c r="I39" s="15"/>
      <c r="J39" s="15"/>
      <c r="K39" s="15">
        <f>O18*K38+O20</f>
        <v>223507.2794</v>
      </c>
      <c r="L39" s="15"/>
      <c r="M39" s="15">
        <f>Q18*M38+Q20</f>
        <v>179896.1029</v>
      </c>
      <c r="N39" s="15"/>
      <c r="O39" s="15">
        <f>S18</f>
        <v>200053.5199</v>
      </c>
      <c r="P39" s="15"/>
      <c r="Q39" s="15">
        <f>U18</f>
        <v>26850.64259</v>
      </c>
    </row>
    <row r="40">
      <c r="A40" s="1" t="s">
        <v>65</v>
      </c>
      <c r="B40" s="22">
        <f t="shared" ref="B40:C40" si="16">B39/B32</f>
        <v>0.09447787624</v>
      </c>
      <c r="C40" s="22">
        <f t="shared" si="16"/>
        <v>0.02884408982</v>
      </c>
      <c r="D40" s="22"/>
      <c r="E40" s="22"/>
      <c r="F40" s="22"/>
      <c r="G40" s="22">
        <f>G39/G32</f>
        <v>0.9860372996</v>
      </c>
      <c r="H40" s="22"/>
      <c r="I40" s="22"/>
      <c r="J40" s="22"/>
      <c r="K40" s="22">
        <f>K39/K32</f>
        <v>12.12350859</v>
      </c>
      <c r="L40" s="22"/>
      <c r="M40" s="22">
        <f>M39/M32</f>
        <v>9.757945938</v>
      </c>
      <c r="N40" s="22"/>
      <c r="O40" s="22">
        <f>O39/O32</f>
        <v>0.9721402181</v>
      </c>
      <c r="P40" s="22"/>
      <c r="Q40" s="22">
        <f>Q39/Q32</f>
        <v>0.1092326826</v>
      </c>
    </row>
    <row r="41">
      <c r="A41" s="1" t="s">
        <v>66</v>
      </c>
      <c r="B41" s="22">
        <f t="shared" ref="B41:C41" si="17">$B$24/B32</f>
        <v>0.5013407899</v>
      </c>
      <c r="C41" s="22">
        <f t="shared" si="17"/>
        <v>0.1043287918</v>
      </c>
      <c r="G41" s="22">
        <f>$B$24/G32</f>
        <v>0.1074301693</v>
      </c>
      <c r="K41" s="22">
        <f>$B$24/K32</f>
        <v>1.183957124</v>
      </c>
      <c r="M41" s="22">
        <f>$B$24/M32</f>
        <v>1.183957124</v>
      </c>
      <c r="O41" s="22">
        <f>$B$24/O32</f>
        <v>0.1060674276</v>
      </c>
      <c r="Q41" s="22">
        <f>$B$24/Q32</f>
        <v>0.08879678427</v>
      </c>
    </row>
    <row r="44">
      <c r="A44" s="1" t="s">
        <v>67</v>
      </c>
      <c r="B44" s="23" t="s">
        <v>46</v>
      </c>
      <c r="C44" s="23" t="s">
        <v>47</v>
      </c>
      <c r="D44" s="23"/>
      <c r="F44" s="23"/>
      <c r="G44" s="23" t="s">
        <v>48</v>
      </c>
      <c r="H44" s="23"/>
      <c r="J44" s="23"/>
      <c r="K44" s="23" t="s">
        <v>49</v>
      </c>
      <c r="M44" s="23" t="s">
        <v>50</v>
      </c>
      <c r="N44" s="23"/>
      <c r="O44" s="23" t="s">
        <v>51</v>
      </c>
      <c r="P44" s="23"/>
      <c r="Q44" s="23" t="s">
        <v>52</v>
      </c>
    </row>
    <row r="45">
      <c r="A45" s="23" t="s">
        <v>61</v>
      </c>
      <c r="B45" s="23">
        <v>0.0</v>
      </c>
      <c r="C45" s="23">
        <v>0.0</v>
      </c>
      <c r="G45" s="15">
        <v>35742.482952196544</v>
      </c>
      <c r="H45" s="15"/>
      <c r="I45" s="15"/>
      <c r="J45" s="15"/>
      <c r="K45" s="15">
        <v>23341.432181728393</v>
      </c>
      <c r="L45" s="15"/>
      <c r="M45" s="15">
        <v>23341.432181728393</v>
      </c>
      <c r="N45" s="23"/>
      <c r="O45" s="23">
        <v>0.0</v>
      </c>
      <c r="P45" s="23"/>
      <c r="Q45" s="23">
        <v>0.0</v>
      </c>
    </row>
    <row r="46">
      <c r="A46" s="23" t="s">
        <v>62</v>
      </c>
      <c r="B46" s="24">
        <v>1.0</v>
      </c>
      <c r="C46" s="24">
        <v>1.0</v>
      </c>
      <c r="D46" s="22"/>
      <c r="E46" s="22"/>
      <c r="F46" s="22"/>
      <c r="G46" s="22">
        <v>1.0</v>
      </c>
      <c r="H46" s="22" t="e">
        <v>#DIV/0!</v>
      </c>
      <c r="I46" s="22" t="e">
        <v>#DIV/0!</v>
      </c>
      <c r="J46" s="22" t="e">
        <v>#DIV/0!</v>
      </c>
      <c r="K46" s="22">
        <v>1.0</v>
      </c>
      <c r="L46" s="22" t="e">
        <v>#DIV/0!</v>
      </c>
      <c r="M46" s="22">
        <v>1.0</v>
      </c>
      <c r="N46" s="24"/>
      <c r="O46" s="24">
        <v>1.0</v>
      </c>
      <c r="P46" s="24"/>
      <c r="Q46" s="24">
        <v>1.0</v>
      </c>
    </row>
    <row r="47">
      <c r="A47" s="23" t="s">
        <v>63</v>
      </c>
      <c r="B47" s="23">
        <v>1.0</v>
      </c>
      <c r="C47" s="23">
        <v>1.0</v>
      </c>
      <c r="G47" s="22">
        <v>0.704213401855315</v>
      </c>
      <c r="H47" s="22"/>
      <c r="I47" s="22"/>
      <c r="J47" s="22"/>
      <c r="K47" s="22">
        <v>0.8271314510830274</v>
      </c>
      <c r="L47" s="22"/>
      <c r="M47" s="22">
        <v>0.8271314510830274</v>
      </c>
      <c r="O47" s="23">
        <v>1.0</v>
      </c>
      <c r="Q47" s="23">
        <v>1.0</v>
      </c>
    </row>
    <row r="48">
      <c r="A48" s="23" t="s">
        <v>64</v>
      </c>
      <c r="B48" s="15">
        <v>8022.69149714775</v>
      </c>
      <c r="C48" s="15">
        <v>4441.501349334404</v>
      </c>
      <c r="D48" s="15"/>
      <c r="E48" s="15"/>
      <c r="F48" s="15"/>
      <c r="G48" s="15">
        <v>132731.678279563</v>
      </c>
      <c r="H48" s="15"/>
      <c r="I48" s="15"/>
      <c r="J48" s="15"/>
      <c r="K48" s="15">
        <v>155899.54035356006</v>
      </c>
      <c r="L48" s="15"/>
      <c r="M48" s="15">
        <v>125480.11784554833</v>
      </c>
      <c r="N48" s="15"/>
      <c r="O48" s="15">
        <v>147239.39062799996</v>
      </c>
      <c r="P48" s="15"/>
      <c r="Q48" s="15">
        <v>19762.072946831227</v>
      </c>
    </row>
    <row r="49">
      <c r="A49" s="23" t="s">
        <v>65</v>
      </c>
      <c r="B49" s="22">
        <v>0.1842696498264694</v>
      </c>
      <c r="C49" s="22">
        <v>0.021229250108711607</v>
      </c>
      <c r="D49" s="22"/>
      <c r="E49" s="22"/>
      <c r="F49" s="22"/>
      <c r="G49" s="22">
        <v>0.6532832498424767</v>
      </c>
      <c r="H49" s="22"/>
      <c r="I49" s="22"/>
      <c r="J49" s="22"/>
      <c r="K49" s="22">
        <v>8.456321520023065</v>
      </c>
      <c r="L49" s="22"/>
      <c r="M49" s="22">
        <v>6.806307564896613</v>
      </c>
      <c r="N49" s="22"/>
      <c r="O49" s="22">
        <v>0.7154952005022323</v>
      </c>
      <c r="P49" s="22"/>
      <c r="Q49" s="22">
        <v>0.08039525438700486</v>
      </c>
    </row>
    <row r="50">
      <c r="A50" s="23" t="s">
        <v>66</v>
      </c>
      <c r="B50" s="22">
        <v>0.5013407898670571</v>
      </c>
      <c r="C50" s="22">
        <v>0.10432879178023027</v>
      </c>
      <c r="D50" s="22"/>
      <c r="E50" s="22"/>
      <c r="F50" s="22"/>
      <c r="G50" s="22">
        <v>0.10743016925722652</v>
      </c>
      <c r="H50" s="22"/>
      <c r="I50" s="22"/>
      <c r="J50" s="22"/>
      <c r="K50" s="22">
        <v>1.1839571236603421</v>
      </c>
      <c r="L50" s="22"/>
      <c r="M50" s="22">
        <v>1.1839571236603421</v>
      </c>
      <c r="N50" s="22"/>
      <c r="O50" s="22">
        <v>0.10606742757248694</v>
      </c>
      <c r="P50" s="22"/>
      <c r="Q50" s="22">
        <v>0.08879678427452564</v>
      </c>
    </row>
  </sheetData>
  <mergeCells count="1">
    <mergeCell ref="AA14:AB14"/>
  </mergeCells>
  <drawing r:id="rId1"/>
</worksheet>
</file>