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F2DE4C40-68BF-4C5C-B34D-D7CBA245B154}" xr6:coauthVersionLast="47" xr6:coauthVersionMax="47" xr10:uidLastSave="{00000000-0000-0000-0000-000000000000}"/>
  <bookViews>
    <workbookView xWindow="-110" yWindow="-110" windowWidth="19420" windowHeight="10560" xr2:uid="{A3BE65C8-621B-4E0E-B669-A2B1DA057E54}"/>
  </bookViews>
  <sheets>
    <sheet name="8" sheetId="3" r:id="rId1"/>
    <sheet name="68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3" l="1"/>
  <c r="P21" i="3"/>
  <c r="B40" i="3"/>
  <c r="B39" i="3"/>
  <c r="D15" i="3"/>
  <c r="B9" i="3"/>
  <c r="D9" i="3"/>
  <c r="U21" i="3"/>
  <c r="V21" i="3"/>
  <c r="C40" i="3"/>
  <c r="C39" i="3"/>
  <c r="C36" i="3"/>
  <c r="C35" i="3"/>
  <c r="C31" i="3"/>
  <c r="C30" i="3"/>
  <c r="C28" i="3"/>
  <c r="C27" i="3"/>
  <c r="C25" i="3"/>
  <c r="C24" i="3"/>
  <c r="I40" i="3"/>
  <c r="I39" i="3"/>
  <c r="I15" i="3"/>
  <c r="J15" i="3"/>
  <c r="I9" i="3"/>
  <c r="J9" i="3"/>
  <c r="B37" i="1"/>
  <c r="B36" i="1"/>
  <c r="AG13" i="1"/>
  <c r="AG14" i="1"/>
  <c r="AG15" i="1"/>
  <c r="AG16" i="1"/>
  <c r="AG17" i="1"/>
  <c r="AG18" i="1"/>
  <c r="AG19" i="1"/>
  <c r="W8" i="1"/>
  <c r="V8" i="1"/>
  <c r="U8" i="1"/>
  <c r="C37" i="1"/>
  <c r="C36" i="1"/>
  <c r="C33" i="1"/>
  <c r="C29" i="1"/>
  <c r="C28" i="1"/>
  <c r="C26" i="1"/>
  <c r="C25" i="1"/>
  <c r="C23" i="1"/>
  <c r="C24" i="1" s="1"/>
  <c r="C22" i="1"/>
  <c r="I37" i="1"/>
  <c r="I36" i="1"/>
  <c r="AA12" i="3" l="1"/>
  <c r="AA24" i="3" s="1"/>
  <c r="AA10" i="3"/>
  <c r="AA9" i="3"/>
  <c r="AA8" i="3"/>
  <c r="AA7" i="3"/>
  <c r="AA6" i="3"/>
  <c r="AA5" i="3"/>
  <c r="AA4" i="3"/>
  <c r="Z24" i="3"/>
  <c r="Z20" i="3"/>
  <c r="Z19" i="3"/>
  <c r="Z18" i="3"/>
  <c r="Z11" i="3"/>
  <c r="AG24" i="3"/>
  <c r="AG20" i="3"/>
  <c r="AG19" i="3"/>
  <c r="AG18" i="3"/>
  <c r="AG17" i="3"/>
  <c r="AG11" i="3"/>
  <c r="O22" i="3"/>
  <c r="O20" i="3"/>
  <c r="O19" i="3"/>
  <c r="O18" i="3"/>
  <c r="O17" i="3"/>
  <c r="O15" i="3"/>
  <c r="O14" i="3"/>
  <c r="O10" i="3"/>
  <c r="O9" i="3"/>
  <c r="AA20" i="3" s="1"/>
  <c r="O8" i="3"/>
  <c r="AA19" i="3" s="1"/>
  <c r="O7" i="3"/>
  <c r="AA18" i="3" s="1"/>
  <c r="O6" i="3"/>
  <c r="O4" i="3"/>
  <c r="O3" i="3"/>
  <c r="U5" i="3"/>
  <c r="U11" i="3" s="1"/>
  <c r="U13" i="3" s="1"/>
  <c r="U16" i="3" s="1"/>
  <c r="U23" i="3" s="1"/>
  <c r="N5" i="3"/>
  <c r="N11" i="3" s="1"/>
  <c r="N13" i="3" s="1"/>
  <c r="N16" i="3" s="1"/>
  <c r="N23" i="3" s="1"/>
  <c r="C18" i="3"/>
  <c r="C15" i="3"/>
  <c r="C14" i="3"/>
  <c r="C13" i="3"/>
  <c r="C11" i="3"/>
  <c r="C10" i="3"/>
  <c r="C8" i="3"/>
  <c r="C7" i="3"/>
  <c r="C6" i="3"/>
  <c r="C5" i="3"/>
  <c r="C4" i="3"/>
  <c r="C3" i="3"/>
  <c r="I21" i="3"/>
  <c r="B41" i="3"/>
  <c r="B32" i="3"/>
  <c r="B26" i="3"/>
  <c r="B12" i="3"/>
  <c r="B16" i="3" s="1"/>
  <c r="B20" i="3" s="1"/>
  <c r="C32" i="3"/>
  <c r="C26" i="3"/>
  <c r="I41" i="3"/>
  <c r="I32" i="3"/>
  <c r="I26" i="3"/>
  <c r="I12" i="3"/>
  <c r="I16" i="3" s="1"/>
  <c r="I20" i="3" s="1"/>
  <c r="AA9" i="1"/>
  <c r="AA8" i="1"/>
  <c r="AA6" i="1"/>
  <c r="AA5" i="1"/>
  <c r="AA4" i="1"/>
  <c r="Z17" i="1"/>
  <c r="Z15" i="1"/>
  <c r="Z14" i="1"/>
  <c r="Z7" i="1"/>
  <c r="Z16" i="1" s="1"/>
  <c r="O26" i="1"/>
  <c r="O25" i="1"/>
  <c r="O24" i="1"/>
  <c r="O23" i="1"/>
  <c r="O22" i="1"/>
  <c r="O20" i="1"/>
  <c r="O19" i="1"/>
  <c r="O17" i="1"/>
  <c r="O16" i="1"/>
  <c r="O15" i="1"/>
  <c r="O14" i="1"/>
  <c r="O11" i="1"/>
  <c r="O10" i="1"/>
  <c r="O7" i="1"/>
  <c r="O6" i="1"/>
  <c r="O5" i="1"/>
  <c r="O4" i="1"/>
  <c r="N12" i="1"/>
  <c r="N8" i="1"/>
  <c r="Z13" i="1" s="1"/>
  <c r="C16" i="1"/>
  <c r="C13" i="1"/>
  <c r="C12" i="1"/>
  <c r="C10" i="1"/>
  <c r="C9" i="1"/>
  <c r="C8" i="1"/>
  <c r="C7" i="1"/>
  <c r="C6" i="1"/>
  <c r="C5" i="1"/>
  <c r="C4" i="1"/>
  <c r="C3" i="1"/>
  <c r="I19" i="1"/>
  <c r="B38" i="1"/>
  <c r="B30" i="1"/>
  <c r="B24" i="1"/>
  <c r="B11" i="1"/>
  <c r="B14" i="1" s="1"/>
  <c r="B18" i="1" s="1"/>
  <c r="C38" i="1"/>
  <c r="C30" i="1"/>
  <c r="I38" i="1"/>
  <c r="I30" i="1"/>
  <c r="I24" i="1"/>
  <c r="I11" i="1"/>
  <c r="I14" i="1" s="1"/>
  <c r="I18" i="1" s="1"/>
  <c r="U12" i="1"/>
  <c r="U18" i="1" s="1"/>
  <c r="U21" i="1" s="1"/>
  <c r="U27" i="1" s="1"/>
  <c r="U3" i="1"/>
  <c r="AG7" i="1"/>
  <c r="Z23" i="3" l="1"/>
  <c r="AA17" i="1"/>
  <c r="AA11" i="3"/>
  <c r="AA13" i="3" s="1"/>
  <c r="Z13" i="3"/>
  <c r="Z16" i="3"/>
  <c r="AG23" i="3"/>
  <c r="AG16" i="3"/>
  <c r="AG13" i="3"/>
  <c r="O5" i="3"/>
  <c r="C34" i="3"/>
  <c r="C37" i="3" s="1"/>
  <c r="B34" i="3"/>
  <c r="B37" i="3" s="1"/>
  <c r="B44" i="3"/>
  <c r="C41" i="3"/>
  <c r="C44" i="3" s="1"/>
  <c r="I34" i="3"/>
  <c r="I37" i="3" s="1"/>
  <c r="I44" i="3"/>
  <c r="AA7" i="1"/>
  <c r="AA10" i="1" s="1"/>
  <c r="AA15" i="1"/>
  <c r="AA14" i="1"/>
  <c r="Z10" i="1"/>
  <c r="O12" i="1"/>
  <c r="O3" i="1"/>
  <c r="O8" i="1" s="1"/>
  <c r="AA13" i="1" s="1"/>
  <c r="N18" i="1"/>
  <c r="N21" i="1" s="1"/>
  <c r="N27" i="1" s="1"/>
  <c r="C11" i="1"/>
  <c r="C14" i="1" s="1"/>
  <c r="C18" i="1" s="1"/>
  <c r="B32" i="1"/>
  <c r="B34" i="1" s="1"/>
  <c r="B40" i="1" s="1"/>
  <c r="C32" i="1"/>
  <c r="C34" i="1" s="1"/>
  <c r="C40" i="1" s="1"/>
  <c r="B41" i="1"/>
  <c r="C41" i="1"/>
  <c r="I32" i="1"/>
  <c r="I34" i="1" s="1"/>
  <c r="I40" i="1" s="1"/>
  <c r="I41" i="1"/>
  <c r="AG10" i="1"/>
  <c r="Z21" i="3" l="1"/>
  <c r="Z25" i="3"/>
  <c r="I43" i="3"/>
  <c r="O11" i="3"/>
  <c r="O13" i="3" s="1"/>
  <c r="AA16" i="3"/>
  <c r="AG21" i="3"/>
  <c r="AG25" i="3"/>
  <c r="C43" i="3"/>
  <c r="B43" i="3"/>
  <c r="AA16" i="1"/>
  <c r="Z18" i="1"/>
  <c r="Z19" i="1"/>
  <c r="O18" i="1"/>
  <c r="O21" i="1" s="1"/>
  <c r="O27" i="1" s="1"/>
  <c r="S5" i="1"/>
  <c r="S6" i="1"/>
  <c r="S7" i="1"/>
  <c r="S4" i="1"/>
  <c r="Q7" i="1"/>
  <c r="Q6" i="1"/>
  <c r="Q5" i="1"/>
  <c r="Q4" i="1"/>
  <c r="T3" i="1"/>
  <c r="W3" i="1"/>
  <c r="R3" i="1"/>
  <c r="V3" i="1"/>
  <c r="H40" i="3"/>
  <c r="H39" i="3"/>
  <c r="T21" i="3"/>
  <c r="G36" i="3"/>
  <c r="G35" i="3"/>
  <c r="G31" i="3"/>
  <c r="G30" i="3"/>
  <c r="G28" i="3"/>
  <c r="G27" i="3"/>
  <c r="G25" i="3"/>
  <c r="G24" i="3"/>
  <c r="F40" i="3"/>
  <c r="F39" i="3"/>
  <c r="H9" i="3"/>
  <c r="H12" i="3" s="1"/>
  <c r="S12" i="3"/>
  <c r="W21" i="3"/>
  <c r="S6" i="3"/>
  <c r="S4" i="3"/>
  <c r="S3" i="3"/>
  <c r="Q4" i="3"/>
  <c r="Q3" i="3"/>
  <c r="Q12" i="3"/>
  <c r="K40" i="3"/>
  <c r="G40" i="3" s="1"/>
  <c r="K39" i="3"/>
  <c r="G39" i="3" s="1"/>
  <c r="G6" i="3"/>
  <c r="G7" i="3"/>
  <c r="E6" i="3"/>
  <c r="E7" i="3"/>
  <c r="E36" i="3"/>
  <c r="E35" i="3"/>
  <c r="E31" i="3"/>
  <c r="E30" i="3"/>
  <c r="E28" i="3"/>
  <c r="E27" i="3"/>
  <c r="E25" i="3"/>
  <c r="E24" i="3"/>
  <c r="G19" i="3"/>
  <c r="E19" i="3"/>
  <c r="G15" i="3"/>
  <c r="G13" i="3"/>
  <c r="E15" i="3"/>
  <c r="E14" i="3"/>
  <c r="E13" i="3"/>
  <c r="E11" i="3"/>
  <c r="K9" i="3"/>
  <c r="K12" i="3" s="1"/>
  <c r="J12" i="3"/>
  <c r="H11" i="1"/>
  <c r="K11" i="1"/>
  <c r="F11" i="1"/>
  <c r="J11" i="1"/>
  <c r="D11" i="1"/>
  <c r="AF17" i="3"/>
  <c r="AI17" i="3"/>
  <c r="AD17" i="3"/>
  <c r="AH17" i="3"/>
  <c r="AF18" i="3"/>
  <c r="AI18" i="3"/>
  <c r="AD18" i="3"/>
  <c r="AH18" i="3"/>
  <c r="AF19" i="3"/>
  <c r="AI19" i="3"/>
  <c r="AD19" i="3"/>
  <c r="AH19" i="3"/>
  <c r="AF20" i="3"/>
  <c r="AI20" i="3"/>
  <c r="AD20" i="3"/>
  <c r="AH20" i="3"/>
  <c r="AF24" i="3"/>
  <c r="AI24" i="3"/>
  <c r="AD24" i="3"/>
  <c r="AH24" i="3"/>
  <c r="AB24" i="3"/>
  <c r="AB20" i="3"/>
  <c r="AB19" i="3"/>
  <c r="AB18" i="3"/>
  <c r="O16" i="3" l="1"/>
  <c r="O23" i="3" s="1"/>
  <c r="AA25" i="3"/>
  <c r="AA23" i="3"/>
  <c r="AA21" i="3"/>
  <c r="AA18" i="1"/>
  <c r="AA19" i="1"/>
  <c r="Q3" i="1"/>
  <c r="S3" i="1"/>
  <c r="AC7" i="3"/>
  <c r="AC8" i="3"/>
  <c r="AC9" i="3"/>
  <c r="AC10" i="3"/>
  <c r="AE7" i="3"/>
  <c r="AE10" i="3"/>
  <c r="AE9" i="3"/>
  <c r="AF11" i="3"/>
  <c r="AB11" i="3"/>
  <c r="R21" i="3"/>
  <c r="Q21" i="3" s="1"/>
  <c r="O21" i="3"/>
  <c r="Q18" i="3"/>
  <c r="S18" i="3"/>
  <c r="E6" i="1"/>
  <c r="G6" i="1"/>
  <c r="G7" i="1"/>
  <c r="E7" i="1"/>
  <c r="S9" i="3"/>
  <c r="S8" i="3"/>
  <c r="Q9" i="3"/>
  <c r="Q8" i="3"/>
  <c r="T5" i="3"/>
  <c r="W5" i="3"/>
  <c r="AI16" i="3" s="1"/>
  <c r="V5" i="3"/>
  <c r="AH16" i="3" s="1"/>
  <c r="J39" i="3"/>
  <c r="E39" i="3" s="1"/>
  <c r="D39" i="3"/>
  <c r="J40" i="3"/>
  <c r="E40" i="3" s="1"/>
  <c r="D40" i="3"/>
  <c r="F9" i="3"/>
  <c r="Q6" i="3"/>
  <c r="S7" i="3"/>
  <c r="Q7" i="3"/>
  <c r="S10" i="3"/>
  <c r="Q10" i="3"/>
  <c r="S14" i="3"/>
  <c r="Q14" i="3"/>
  <c r="S15" i="3"/>
  <c r="Q15" i="3"/>
  <c r="S17" i="3"/>
  <c r="Q17" i="3"/>
  <c r="S19" i="3"/>
  <c r="Q19" i="3"/>
  <c r="S20" i="3"/>
  <c r="Q20" i="3"/>
  <c r="S21" i="3"/>
  <c r="S22" i="3"/>
  <c r="Q22" i="3"/>
  <c r="J21" i="3"/>
  <c r="G3" i="3"/>
  <c r="E3" i="3"/>
  <c r="G4" i="3"/>
  <c r="E4" i="3"/>
  <c r="G5" i="3"/>
  <c r="E5" i="3"/>
  <c r="G8" i="3"/>
  <c r="E8" i="3"/>
  <c r="G9" i="3"/>
  <c r="G10" i="3"/>
  <c r="E10" i="3"/>
  <c r="G11" i="3"/>
  <c r="K41" i="3"/>
  <c r="G41" i="3"/>
  <c r="H41" i="3"/>
  <c r="F41" i="3"/>
  <c r="D32" i="3"/>
  <c r="J32" i="3"/>
  <c r="E32" i="3"/>
  <c r="F32" i="3"/>
  <c r="K32" i="3"/>
  <c r="G32" i="3"/>
  <c r="H32" i="3"/>
  <c r="D26" i="3"/>
  <c r="J26" i="3"/>
  <c r="E26" i="3"/>
  <c r="F26" i="3"/>
  <c r="K26" i="3"/>
  <c r="G26" i="3"/>
  <c r="H26" i="3"/>
  <c r="K21" i="3"/>
  <c r="AC12" i="3"/>
  <c r="AC24" i="3" s="1"/>
  <c r="AE12" i="3"/>
  <c r="AE24" i="3" s="1"/>
  <c r="AE8" i="3"/>
  <c r="E18" i="3"/>
  <c r="G18" i="3"/>
  <c r="AC6" i="3"/>
  <c r="AE6" i="3"/>
  <c r="AC5" i="3"/>
  <c r="AE5" i="3"/>
  <c r="AE17" i="3" s="1"/>
  <c r="AC4" i="3"/>
  <c r="AE4" i="3"/>
  <c r="J16" i="3"/>
  <c r="K16" i="3"/>
  <c r="H16" i="3"/>
  <c r="P5" i="3"/>
  <c r="R5" i="3"/>
  <c r="AD16" i="3" s="1"/>
  <c r="E41" i="3" l="1"/>
  <c r="E44" i="3" s="1"/>
  <c r="D12" i="3"/>
  <c r="D16" i="3" s="1"/>
  <c r="D20" i="3" s="1"/>
  <c r="C9" i="3"/>
  <c r="C12" i="3" s="1"/>
  <c r="C16" i="3" s="1"/>
  <c r="C20" i="3" s="1"/>
  <c r="AC19" i="3"/>
  <c r="AC17" i="3"/>
  <c r="AC20" i="3"/>
  <c r="G16" i="3"/>
  <c r="G20" i="3" s="1"/>
  <c r="K44" i="3"/>
  <c r="T11" i="3"/>
  <c r="AF23" i="3" s="1"/>
  <c r="AF16" i="3"/>
  <c r="G44" i="3"/>
  <c r="F44" i="3"/>
  <c r="AB13" i="3"/>
  <c r="F12" i="3"/>
  <c r="E12" i="3" s="1"/>
  <c r="P11" i="3"/>
  <c r="AB23" i="3" s="1"/>
  <c r="AB16" i="3"/>
  <c r="H44" i="3"/>
  <c r="AF13" i="3"/>
  <c r="AE20" i="3"/>
  <c r="AE19" i="3"/>
  <c r="AE18" i="3"/>
  <c r="AC18" i="3"/>
  <c r="G12" i="3"/>
  <c r="E9" i="3"/>
  <c r="V11" i="3"/>
  <c r="R11" i="3"/>
  <c r="R13" i="3" s="1"/>
  <c r="R16" i="3" s="1"/>
  <c r="R23" i="3" s="1"/>
  <c r="W11" i="3"/>
  <c r="J41" i="3"/>
  <c r="AC11" i="3"/>
  <c r="AC13" i="3" s="1"/>
  <c r="AH11" i="3"/>
  <c r="AH13" i="3" s="1"/>
  <c r="AD11" i="3"/>
  <c r="AI11" i="3"/>
  <c r="AI13" i="3" s="1"/>
  <c r="D41" i="3"/>
  <c r="S5" i="3"/>
  <c r="Q5" i="3"/>
  <c r="AC16" i="3" s="1"/>
  <c r="K34" i="3"/>
  <c r="K37" i="3" s="1"/>
  <c r="AE11" i="3"/>
  <c r="AE13" i="3" s="1"/>
  <c r="D34" i="3"/>
  <c r="J34" i="3"/>
  <c r="E34" i="3" s="1"/>
  <c r="E37" i="3" s="1"/>
  <c r="H34" i="3"/>
  <c r="H43" i="3" s="1"/>
  <c r="J20" i="3"/>
  <c r="H20" i="3"/>
  <c r="K20" i="3"/>
  <c r="G34" i="3"/>
  <c r="G37" i="3" s="1"/>
  <c r="F34" i="3"/>
  <c r="F43" i="3" s="1"/>
  <c r="J19" i="1"/>
  <c r="K19" i="1"/>
  <c r="E17" i="1"/>
  <c r="G17" i="1"/>
  <c r="F36" i="1"/>
  <c r="F37" i="1"/>
  <c r="H36" i="1"/>
  <c r="H38" i="1" s="1"/>
  <c r="G13" i="1"/>
  <c r="G12" i="1"/>
  <c r="G10" i="1"/>
  <c r="G9" i="1"/>
  <c r="G8" i="1"/>
  <c r="G5" i="1"/>
  <c r="G4" i="1"/>
  <c r="G3" i="1"/>
  <c r="G16" i="1"/>
  <c r="AE9" i="1"/>
  <c r="AE8" i="1"/>
  <c r="AE6" i="1"/>
  <c r="AE5" i="1"/>
  <c r="AF7" i="1"/>
  <c r="AF10" i="1" s="1"/>
  <c r="AI7" i="1"/>
  <c r="AH7" i="1"/>
  <c r="AH10" i="1" s="1"/>
  <c r="AC5" i="1"/>
  <c r="AC6" i="1"/>
  <c r="AC8" i="1"/>
  <c r="AC9" i="1"/>
  <c r="AE4" i="1"/>
  <c r="AC4" i="1"/>
  <c r="AF15" i="1"/>
  <c r="AF14" i="1"/>
  <c r="AF13" i="1"/>
  <c r="AI15" i="1"/>
  <c r="AI14" i="1"/>
  <c r="AI13" i="1"/>
  <c r="AH17" i="1"/>
  <c r="AH15" i="1"/>
  <c r="AH14" i="1"/>
  <c r="AH13" i="1"/>
  <c r="S26" i="1"/>
  <c r="S25" i="1"/>
  <c r="S24" i="1"/>
  <c r="S23" i="1"/>
  <c r="S22" i="1"/>
  <c r="Q23" i="1"/>
  <c r="Q24" i="1"/>
  <c r="Q25" i="1"/>
  <c r="Q26" i="1"/>
  <c r="Q22" i="1"/>
  <c r="Q20" i="1"/>
  <c r="Q19" i="1"/>
  <c r="S20" i="1"/>
  <c r="S19" i="1"/>
  <c r="S17" i="1"/>
  <c r="S16" i="1"/>
  <c r="Q17" i="1"/>
  <c r="Q16" i="1"/>
  <c r="Q14" i="1"/>
  <c r="S11" i="1"/>
  <c r="S10" i="1"/>
  <c r="Q11" i="1"/>
  <c r="Q10" i="1"/>
  <c r="S8" i="1"/>
  <c r="T12" i="1"/>
  <c r="W12" i="1"/>
  <c r="W18" i="1" s="1"/>
  <c r="W21" i="1" s="1"/>
  <c r="W27" i="1" s="1"/>
  <c r="V12" i="1"/>
  <c r="V18" i="1" s="1"/>
  <c r="V21" i="1" s="1"/>
  <c r="V27" i="1" s="1"/>
  <c r="E16" i="1"/>
  <c r="E13" i="1"/>
  <c r="E12" i="1"/>
  <c r="E4" i="1"/>
  <c r="E5" i="1"/>
  <c r="E8" i="1"/>
  <c r="E9" i="1"/>
  <c r="E10" i="1"/>
  <c r="E3" i="1"/>
  <c r="G36" i="1"/>
  <c r="G38" i="1" s="1"/>
  <c r="K36" i="1"/>
  <c r="K38" i="1" s="1"/>
  <c r="J37" i="1"/>
  <c r="E37" i="1"/>
  <c r="J36" i="1"/>
  <c r="E36" i="1"/>
  <c r="J30" i="1"/>
  <c r="K30" i="1"/>
  <c r="J24" i="1"/>
  <c r="K24" i="1"/>
  <c r="J14" i="1"/>
  <c r="J18" i="1" s="1"/>
  <c r="K14" i="1"/>
  <c r="K18" i="1" s="1"/>
  <c r="G24" i="1"/>
  <c r="G30" i="1"/>
  <c r="H30" i="1"/>
  <c r="E30" i="1"/>
  <c r="H24" i="1"/>
  <c r="E24" i="1"/>
  <c r="H14" i="1"/>
  <c r="H18" i="1" s="1"/>
  <c r="AD14" i="1"/>
  <c r="AD15" i="1"/>
  <c r="AB17" i="1"/>
  <c r="AB15" i="1"/>
  <c r="AB14" i="1"/>
  <c r="AD7" i="1"/>
  <c r="AD10" i="1" s="1"/>
  <c r="R12" i="1"/>
  <c r="R8" i="1"/>
  <c r="AD13" i="1" s="1"/>
  <c r="AB7" i="1"/>
  <c r="AB10" i="1" s="1"/>
  <c r="P12" i="1"/>
  <c r="P8" i="1"/>
  <c r="AB13" i="1" s="1"/>
  <c r="D37" i="1"/>
  <c r="D36" i="1"/>
  <c r="D30" i="1"/>
  <c r="F30" i="1"/>
  <c r="D24" i="1"/>
  <c r="F24" i="1"/>
  <c r="D14" i="1"/>
  <c r="D18" i="1" s="1"/>
  <c r="F14" i="1"/>
  <c r="F18" i="1" s="1"/>
  <c r="AE16" i="3" l="1"/>
  <c r="J44" i="3"/>
  <c r="J43" i="3"/>
  <c r="K43" i="3"/>
  <c r="D44" i="3"/>
  <c r="D43" i="3"/>
  <c r="G43" i="3"/>
  <c r="E43" i="3"/>
  <c r="T18" i="1"/>
  <c r="AF19" i="1" s="1"/>
  <c r="AD13" i="3"/>
  <c r="AD23" i="3"/>
  <c r="AF21" i="3"/>
  <c r="P13" i="3"/>
  <c r="P16" i="3" s="1"/>
  <c r="P23" i="3" s="1"/>
  <c r="F16" i="3"/>
  <c r="G11" i="1"/>
  <c r="G14" i="1" s="1"/>
  <c r="G18" i="1" s="1"/>
  <c r="E11" i="1"/>
  <c r="E14" i="1" s="1"/>
  <c r="E18" i="1" s="1"/>
  <c r="S11" i="3"/>
  <c r="AI21" i="3"/>
  <c r="AI23" i="3"/>
  <c r="AH23" i="3"/>
  <c r="AH21" i="3"/>
  <c r="Q11" i="3"/>
  <c r="V13" i="3"/>
  <c r="T13" i="3"/>
  <c r="T16" i="3" s="1"/>
  <c r="T23" i="3" s="1"/>
  <c r="W13" i="3"/>
  <c r="K41" i="1"/>
  <c r="J32" i="1"/>
  <c r="J34" i="1" s="1"/>
  <c r="S12" i="1"/>
  <c r="S18" i="1" s="1"/>
  <c r="S21" i="1" s="1"/>
  <c r="S27" i="1" s="1"/>
  <c r="G32" i="1"/>
  <c r="G34" i="1" s="1"/>
  <c r="G40" i="1" s="1"/>
  <c r="H41" i="1"/>
  <c r="G41" i="1"/>
  <c r="F37" i="3"/>
  <c r="H37" i="3"/>
  <c r="J37" i="3"/>
  <c r="D37" i="3"/>
  <c r="AC17" i="1"/>
  <c r="AC15" i="1"/>
  <c r="AC14" i="1"/>
  <c r="AH18" i="1"/>
  <c r="AF16" i="1"/>
  <c r="AI16" i="1"/>
  <c r="AE13" i="1"/>
  <c r="AE15" i="1"/>
  <c r="AB21" i="3"/>
  <c r="AI10" i="1"/>
  <c r="AI18" i="1" s="1"/>
  <c r="AE7" i="1"/>
  <c r="AE14" i="1"/>
  <c r="AH16" i="1"/>
  <c r="AC7" i="1"/>
  <c r="AH19" i="1"/>
  <c r="J38" i="1"/>
  <c r="J41" i="1" s="1"/>
  <c r="Q8" i="1"/>
  <c r="AC13" i="1" s="1"/>
  <c r="Q12" i="1"/>
  <c r="K32" i="1"/>
  <c r="K34" i="1" s="1"/>
  <c r="K40" i="1" s="1"/>
  <c r="E38" i="1"/>
  <c r="E41" i="1" s="1"/>
  <c r="E32" i="1"/>
  <c r="E34" i="1" s="1"/>
  <c r="H32" i="1"/>
  <c r="H34" i="1" s="1"/>
  <c r="H40" i="1" s="1"/>
  <c r="R18" i="1"/>
  <c r="R21" i="1" s="1"/>
  <c r="R27" i="1" s="1"/>
  <c r="AB16" i="1"/>
  <c r="AD16" i="1"/>
  <c r="P18" i="1"/>
  <c r="P21" i="1" s="1"/>
  <c r="P27" i="1" s="1"/>
  <c r="F32" i="1"/>
  <c r="F34" i="1" s="1"/>
  <c r="D32" i="1"/>
  <c r="D34" i="1" s="1"/>
  <c r="D38" i="1"/>
  <c r="D41" i="1" s="1"/>
  <c r="F38" i="1"/>
  <c r="F41" i="1" s="1"/>
  <c r="AF18" i="1" l="1"/>
  <c r="T21" i="1"/>
  <c r="T27" i="1" s="1"/>
  <c r="E16" i="3"/>
  <c r="E20" i="3" s="1"/>
  <c r="F20" i="3"/>
  <c r="AF25" i="3"/>
  <c r="AD21" i="3"/>
  <c r="AD25" i="3"/>
  <c r="AB25" i="3"/>
  <c r="W16" i="3"/>
  <c r="W23" i="3" s="1"/>
  <c r="AI25" i="3"/>
  <c r="AE21" i="3"/>
  <c r="AE23" i="3"/>
  <c r="Q13" i="3"/>
  <c r="AC21" i="3"/>
  <c r="AC23" i="3"/>
  <c r="V16" i="3"/>
  <c r="V23" i="3" s="1"/>
  <c r="AH25" i="3"/>
  <c r="Q18" i="1"/>
  <c r="Q21" i="1" s="1"/>
  <c r="Q27" i="1" s="1"/>
  <c r="S13" i="3"/>
  <c r="J40" i="1"/>
  <c r="AE16" i="1"/>
  <c r="AC16" i="1"/>
  <c r="AI19" i="1"/>
  <c r="AE10" i="1"/>
  <c r="AE18" i="1" s="1"/>
  <c r="AC10" i="1"/>
  <c r="E40" i="1"/>
  <c r="AD19" i="1"/>
  <c r="AD18" i="1"/>
  <c r="D40" i="1"/>
  <c r="AB18" i="1"/>
  <c r="AB19" i="1"/>
  <c r="F40" i="1"/>
  <c r="AC19" i="1" l="1"/>
  <c r="S16" i="3"/>
  <c r="S23" i="3" s="1"/>
  <c r="AE25" i="3"/>
  <c r="Q16" i="3"/>
  <c r="Q23" i="3" s="1"/>
  <c r="AC25" i="3"/>
  <c r="AE19" i="1"/>
  <c r="AC18" i="1"/>
</calcChain>
</file>

<file path=xl/sharedStrings.xml><?xml version="1.0" encoding="utf-8"?>
<sst xmlns="http://schemas.openxmlformats.org/spreadsheetml/2006/main" count="272" uniqueCount="87">
  <si>
    <t>收入</t>
    <phoneticPr fontId="2" type="noConversion"/>
  </si>
  <si>
    <t>銷售成本</t>
    <phoneticPr fontId="2" type="noConversion"/>
  </si>
  <si>
    <t>一般及行政開支</t>
    <phoneticPr fontId="2" type="noConversion"/>
  </si>
  <si>
    <t>其他</t>
    <phoneticPr fontId="2" type="noConversion"/>
  </si>
  <si>
    <t>利息</t>
    <phoneticPr fontId="2" type="noConversion"/>
  </si>
  <si>
    <t>聯營公司</t>
    <phoneticPr fontId="2" type="noConversion"/>
  </si>
  <si>
    <t>合營公司</t>
    <phoneticPr fontId="2" type="noConversion"/>
  </si>
  <si>
    <t>稅前溢利</t>
    <phoneticPr fontId="2" type="noConversion"/>
  </si>
  <si>
    <t>稅</t>
    <phoneticPr fontId="2" type="noConversion"/>
  </si>
  <si>
    <t>純利</t>
    <phoneticPr fontId="2" type="noConversion"/>
  </si>
  <si>
    <t>非控股權益</t>
    <phoneticPr fontId="2" type="noConversion"/>
  </si>
  <si>
    <t>每股盈利</t>
    <phoneticPr fontId="2" type="noConversion"/>
  </si>
  <si>
    <t>每股派息</t>
    <phoneticPr fontId="2" type="noConversion"/>
  </si>
  <si>
    <t>資產</t>
    <phoneticPr fontId="2" type="noConversion"/>
  </si>
  <si>
    <t>負債</t>
    <phoneticPr fontId="2" type="noConversion"/>
  </si>
  <si>
    <t>帳面值</t>
    <phoneticPr fontId="2" type="noConversion"/>
  </si>
  <si>
    <t>現金</t>
    <phoneticPr fontId="2" type="noConversion"/>
  </si>
  <si>
    <t>貸款</t>
    <phoneticPr fontId="2" type="noConversion"/>
  </si>
  <si>
    <t>淨貸款</t>
    <phoneticPr fontId="2" type="noConversion"/>
  </si>
  <si>
    <t>固定資產</t>
    <phoneticPr fontId="2" type="noConversion"/>
  </si>
  <si>
    <t>流動資產</t>
    <phoneticPr fontId="2" type="noConversion"/>
  </si>
  <si>
    <t>長債</t>
    <phoneticPr fontId="2" type="noConversion"/>
  </si>
  <si>
    <t>短債</t>
    <phoneticPr fontId="2" type="noConversion"/>
  </si>
  <si>
    <t>1H21</t>
    <phoneticPr fontId="2" type="noConversion"/>
  </si>
  <si>
    <t>1H20</t>
    <phoneticPr fontId="2" type="noConversion"/>
  </si>
  <si>
    <t>淨資產</t>
    <phoneticPr fontId="2" type="noConversion"/>
  </si>
  <si>
    <t>非控股樭益</t>
    <phoneticPr fontId="2" type="noConversion"/>
  </si>
  <si>
    <t>EBITDA</t>
    <phoneticPr fontId="2" type="noConversion"/>
  </si>
  <si>
    <t>股數</t>
    <phoneticPr fontId="2" type="noConversion"/>
  </si>
  <si>
    <t>本地電訊</t>
    <phoneticPr fontId="2" type="noConversion"/>
  </si>
  <si>
    <t>國際電訊</t>
    <phoneticPr fontId="2" type="noConversion"/>
  </si>
  <si>
    <t>電訊</t>
    <phoneticPr fontId="2" type="noConversion"/>
  </si>
  <si>
    <t>流動通訊</t>
    <phoneticPr fontId="2" type="noConversion"/>
  </si>
  <si>
    <t>收費電視</t>
    <phoneticPr fontId="2" type="noConversion"/>
  </si>
  <si>
    <t>抵銷</t>
    <phoneticPr fontId="2" type="noConversion"/>
  </si>
  <si>
    <t>總收入</t>
    <phoneticPr fontId="2" type="noConversion"/>
  </si>
  <si>
    <t>流動通訊產品銷售</t>
    <phoneticPr fontId="2" type="noConversion"/>
  </si>
  <si>
    <t>流動通訊服務</t>
    <phoneticPr fontId="2" type="noConversion"/>
  </si>
  <si>
    <t>總EBITDA Margin</t>
    <phoneticPr fontId="2" type="noConversion"/>
  </si>
  <si>
    <t>不計 流動通訊產品銷售</t>
    <phoneticPr fontId="2" type="noConversion"/>
  </si>
  <si>
    <t>NA</t>
    <phoneticPr fontId="2" type="noConversion"/>
  </si>
  <si>
    <t>賣嘢</t>
    <phoneticPr fontId="2" type="noConversion"/>
  </si>
  <si>
    <t>合營聯營</t>
    <phoneticPr fontId="2" type="noConversion"/>
  </si>
  <si>
    <t>EBITDA Margin</t>
    <phoneticPr fontId="2" type="noConversion"/>
  </si>
  <si>
    <t>稅前利潤</t>
    <phoneticPr fontId="2" type="noConversion"/>
  </si>
  <si>
    <t>2H20</t>
    <phoneticPr fontId="2" type="noConversion"/>
  </si>
  <si>
    <t>1H19</t>
    <phoneticPr fontId="2" type="noConversion"/>
  </si>
  <si>
    <t>2H19</t>
    <phoneticPr fontId="2" type="noConversion"/>
  </si>
  <si>
    <t>FY19</t>
    <phoneticPr fontId="2" type="noConversion"/>
  </si>
  <si>
    <t>FY20</t>
    <phoneticPr fontId="2" type="noConversion"/>
  </si>
  <si>
    <t>其他成本（非ITDA）</t>
    <phoneticPr fontId="2" type="noConversion"/>
  </si>
  <si>
    <t>折舊攤銷（DA)</t>
    <phoneticPr fontId="2" type="noConversion"/>
  </si>
  <si>
    <t>利息（I）</t>
    <phoneticPr fontId="2" type="noConversion"/>
  </si>
  <si>
    <t>永續債</t>
    <phoneticPr fontId="2" type="noConversion"/>
  </si>
  <si>
    <t xml:space="preserve">        GoodWill </t>
    <phoneticPr fontId="2" type="noConversion"/>
  </si>
  <si>
    <t xml:space="preserve">        無形資產</t>
    <phoneticPr fontId="2" type="noConversion"/>
  </si>
  <si>
    <t xml:space="preserve">      內部收益</t>
    <phoneticPr fontId="2" type="noConversion"/>
  </si>
  <si>
    <t>淨負債/資產</t>
    <phoneticPr fontId="2" type="noConversion"/>
  </si>
  <si>
    <t>淨負債/淨資產</t>
    <phoneticPr fontId="2" type="noConversion"/>
  </si>
  <si>
    <t>香港電訊</t>
    <phoneticPr fontId="2" type="noConversion"/>
  </si>
  <si>
    <t>香港電訊 不計產品銷售</t>
    <phoneticPr fontId="2" type="noConversion"/>
  </si>
  <si>
    <t>香港電訊 產品銷售</t>
    <phoneticPr fontId="2" type="noConversion"/>
  </si>
  <si>
    <t>OTT</t>
    <phoneticPr fontId="2" type="noConversion"/>
  </si>
  <si>
    <t>免費電視（VIU)</t>
    <phoneticPr fontId="2" type="noConversion"/>
  </si>
  <si>
    <t>企業方案</t>
    <phoneticPr fontId="2" type="noConversion"/>
  </si>
  <si>
    <t>核心收入</t>
    <phoneticPr fontId="2" type="noConversion"/>
  </si>
  <si>
    <t>盈大地產</t>
    <phoneticPr fontId="2" type="noConversion"/>
  </si>
  <si>
    <t>收費電視（NOW)（20年8月賣咗）</t>
    <phoneticPr fontId="2" type="noConversion"/>
  </si>
  <si>
    <t>　　折舊攤銷（DA)</t>
    <phoneticPr fontId="2" type="noConversion"/>
  </si>
  <si>
    <t>折舊（D)</t>
    <phoneticPr fontId="2" type="noConversion"/>
  </si>
  <si>
    <t>攤銷  (A)</t>
    <phoneticPr fontId="2" type="noConversion"/>
  </si>
  <si>
    <t xml:space="preserve">    折舊（D)</t>
    <phoneticPr fontId="2" type="noConversion"/>
  </si>
  <si>
    <t xml:space="preserve">    攤銷  (A)</t>
    <phoneticPr fontId="2" type="noConversion"/>
  </si>
  <si>
    <t>核心EBITA</t>
    <phoneticPr fontId="2" type="noConversion"/>
  </si>
  <si>
    <t>6 8 2 3</t>
    <phoneticPr fontId="2" type="noConversion"/>
  </si>
  <si>
    <t xml:space="preserve"> 6 8 2 3</t>
    <phoneticPr fontId="2" type="noConversion"/>
  </si>
  <si>
    <t>PCCW</t>
    <phoneticPr fontId="2" type="noConversion"/>
  </si>
  <si>
    <t xml:space="preserve">      本地數據</t>
    <phoneticPr fontId="2" type="noConversion"/>
  </si>
  <si>
    <t xml:space="preserve">      本地電話</t>
    <phoneticPr fontId="2" type="noConversion"/>
  </si>
  <si>
    <t xml:space="preserve">      其他</t>
    <phoneticPr fontId="2" type="noConversion"/>
  </si>
  <si>
    <t>流動通訊ARPU</t>
    <phoneticPr fontId="2" type="noConversion"/>
  </si>
  <si>
    <t>Now 客戶（千）</t>
    <phoneticPr fontId="2" type="noConversion"/>
  </si>
  <si>
    <t>收費電視（NOW)（20年8月開始）</t>
    <phoneticPr fontId="2" type="noConversion"/>
  </si>
  <si>
    <t>FY21</t>
    <phoneticPr fontId="2" type="noConversion"/>
  </si>
  <si>
    <t>1H22</t>
    <phoneticPr fontId="2" type="noConversion"/>
  </si>
  <si>
    <t>2H21</t>
    <phoneticPr fontId="2" type="noConversion"/>
  </si>
  <si>
    <t>非控股權益/己結束業務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</si>
</sst>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%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0" fillId="0" borderId="0" xfId="1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38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177" fontId="7" fillId="0" borderId="0" xfId="1" applyNumberFormat="1" applyFont="1">
      <alignment vertical="center"/>
    </xf>
    <xf numFmtId="0" fontId="0" fillId="2" borderId="0" xfId="0" applyFill="1">
      <alignment vertical="center"/>
    </xf>
    <xf numFmtId="38" fontId="0" fillId="2" borderId="0" xfId="0" applyNumberFormat="1" applyFill="1">
      <alignment vertical="center"/>
    </xf>
    <xf numFmtId="0" fontId="0" fillId="3" borderId="0" xfId="0" applyFill="1">
      <alignment vertical="center"/>
    </xf>
    <xf numFmtId="38" fontId="0" fillId="3" borderId="0" xfId="0" applyNumberFormat="1" applyFill="1">
      <alignment vertical="center"/>
    </xf>
    <xf numFmtId="0" fontId="0" fillId="4" borderId="0" xfId="0" applyFill="1">
      <alignment vertical="center"/>
    </xf>
    <xf numFmtId="38" fontId="0" fillId="4" borderId="0" xfId="0" applyNumberFormat="1" applyFill="1">
      <alignment vertical="center"/>
    </xf>
    <xf numFmtId="0" fontId="0" fillId="5" borderId="0" xfId="0" applyFill="1">
      <alignment vertical="center"/>
    </xf>
    <xf numFmtId="38" fontId="0" fillId="5" borderId="0" xfId="0" applyNumberFormat="1" applyFill="1">
      <alignment vertical="center"/>
    </xf>
    <xf numFmtId="38" fontId="7" fillId="0" borderId="0" xfId="0" applyNumberFormat="1" applyFont="1">
      <alignment vertical="center"/>
    </xf>
    <xf numFmtId="38" fontId="3" fillId="0" borderId="0" xfId="0" applyNumberFormat="1" applyFont="1">
      <alignment vertical="center"/>
    </xf>
    <xf numFmtId="9" fontId="0" fillId="0" borderId="0" xfId="1" applyFont="1">
      <alignment vertical="center"/>
    </xf>
    <xf numFmtId="0" fontId="0" fillId="0" borderId="0" xfId="0" applyFill="1">
      <alignment vertical="center"/>
    </xf>
    <xf numFmtId="38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38" fontId="0" fillId="0" borderId="1" xfId="0" applyNumberFormat="1" applyFill="1" applyBorder="1">
      <alignment vertical="center"/>
    </xf>
    <xf numFmtId="0" fontId="5" fillId="0" borderId="0" xfId="0" applyFont="1">
      <alignment vertical="center"/>
    </xf>
    <xf numFmtId="177" fontId="0" fillId="0" borderId="0" xfId="1" applyNumberFormat="1" applyFont="1" applyFill="1">
      <alignment vertical="center"/>
    </xf>
    <xf numFmtId="0" fontId="0" fillId="0" borderId="0" xfId="0" applyFill="1" applyBorder="1">
      <alignment vertical="center"/>
    </xf>
    <xf numFmtId="0" fontId="0" fillId="6" borderId="0" xfId="0" applyFill="1">
      <alignment vertical="center"/>
    </xf>
    <xf numFmtId="38" fontId="0" fillId="6" borderId="0" xfId="0" applyNumberFormat="1" applyFill="1">
      <alignment vertical="center"/>
    </xf>
    <xf numFmtId="0" fontId="0" fillId="8" borderId="0" xfId="0" applyFill="1">
      <alignment vertical="center"/>
    </xf>
    <xf numFmtId="38" fontId="0" fillId="8" borderId="0" xfId="0" applyNumberFormat="1" applyFill="1">
      <alignment vertical="center"/>
    </xf>
    <xf numFmtId="177" fontId="0" fillId="0" borderId="0" xfId="1" applyNumberFormat="1" applyFont="1" applyFill="1" applyAlignment="1">
      <alignment horizontal="right" vertical="center"/>
    </xf>
    <xf numFmtId="0" fontId="7" fillId="6" borderId="0" xfId="0" applyFont="1" applyFill="1">
      <alignment vertical="center"/>
    </xf>
    <xf numFmtId="38" fontId="7" fillId="6" borderId="0" xfId="0" applyNumberFormat="1" applyFont="1" applyFill="1">
      <alignment vertical="center"/>
    </xf>
    <xf numFmtId="0" fontId="7" fillId="8" borderId="0" xfId="0" applyFont="1" applyFill="1">
      <alignment vertical="center"/>
    </xf>
    <xf numFmtId="38" fontId="7" fillId="8" borderId="0" xfId="0" applyNumberFormat="1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38" fontId="7" fillId="0" borderId="1" xfId="0" applyNumberFormat="1" applyFont="1" applyBorder="1">
      <alignment vertical="center"/>
    </xf>
    <xf numFmtId="0" fontId="7" fillId="0" borderId="0" xfId="0" applyFont="1" applyBorder="1">
      <alignment vertical="center"/>
    </xf>
    <xf numFmtId="40" fontId="0" fillId="0" borderId="0" xfId="0" applyNumberFormat="1">
      <alignment vertical="center"/>
    </xf>
    <xf numFmtId="0" fontId="0" fillId="9" borderId="0" xfId="0" applyFont="1" applyFill="1" applyAlignment="1">
      <alignment horizontal="center" vertical="center"/>
    </xf>
    <xf numFmtId="0" fontId="0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7" borderId="0" xfId="0" applyFill="1" applyAlignment="1">
      <alignment vertical="center"/>
    </xf>
    <xf numFmtId="38" fontId="0" fillId="8" borderId="0" xfId="0" applyNumberForma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B793-80BF-4783-B8DC-F1F58B3FE808}">
  <dimension ref="A1:AI4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1" sqref="B21:C21"/>
    </sheetView>
  </sheetViews>
  <sheetFormatPr defaultRowHeight="17" x14ac:dyDescent="0.4"/>
  <cols>
    <col min="1" max="1" width="16.08984375" bestFit="1" customWidth="1"/>
    <col min="2" max="2" width="8.54296875" bestFit="1" customWidth="1"/>
    <col min="3" max="3" width="8.26953125" bestFit="1" customWidth="1"/>
    <col min="4" max="4" width="8.54296875" bestFit="1" customWidth="1"/>
    <col min="5" max="5" width="8.26953125" hidden="1" customWidth="1"/>
    <col min="6" max="6" width="7.54296875" hidden="1" customWidth="1"/>
    <col min="7" max="7" width="8.26953125" hidden="1" customWidth="1"/>
    <col min="8" max="8" width="7.54296875" hidden="1" customWidth="1"/>
    <col min="9" max="10" width="8.26953125" customWidth="1"/>
    <col min="11" max="11" width="8.26953125" hidden="1" customWidth="1"/>
    <col min="13" max="13" width="35.81640625" bestFit="1" customWidth="1"/>
    <col min="14" max="16" width="7.54296875" customWidth="1"/>
    <col min="17" max="18" width="7.54296875" hidden="1" customWidth="1"/>
    <col min="19" max="19" width="8.26953125" hidden="1" customWidth="1"/>
    <col min="20" max="20" width="7.54296875" hidden="1" customWidth="1"/>
    <col min="21" max="22" width="8.26953125" customWidth="1"/>
    <col min="23" max="23" width="8.26953125" hidden="1" customWidth="1"/>
    <col min="25" max="25" width="35.81640625" bestFit="1" customWidth="1"/>
    <col min="26" max="26" width="7.26953125" bestFit="1" customWidth="1"/>
    <col min="27" max="28" width="7.26953125" customWidth="1"/>
    <col min="29" max="31" width="7.26953125" hidden="1" customWidth="1"/>
    <col min="32" max="32" width="8.26953125" hidden="1" customWidth="1"/>
    <col min="33" max="34" width="7.54296875" customWidth="1"/>
    <col min="35" max="35" width="8.26953125" hidden="1" customWidth="1"/>
  </cols>
  <sheetData>
    <row r="1" spans="1:35" x14ac:dyDescent="0.4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M1" s="49" t="s">
        <v>76</v>
      </c>
      <c r="N1" s="49"/>
      <c r="O1" s="49"/>
      <c r="P1" s="49"/>
      <c r="Q1" s="49"/>
      <c r="R1" s="49"/>
      <c r="S1" s="49"/>
      <c r="T1" s="49"/>
      <c r="U1" s="49"/>
      <c r="V1" s="49"/>
      <c r="W1" s="49"/>
      <c r="Y1" s="49" t="s">
        <v>76</v>
      </c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x14ac:dyDescent="0.4">
      <c r="B2" t="s">
        <v>84</v>
      </c>
      <c r="C2" t="s">
        <v>85</v>
      </c>
      <c r="D2" t="s">
        <v>23</v>
      </c>
      <c r="E2" t="s">
        <v>45</v>
      </c>
      <c r="F2" t="s">
        <v>24</v>
      </c>
      <c r="G2" t="s">
        <v>47</v>
      </c>
      <c r="H2" t="s">
        <v>46</v>
      </c>
      <c r="I2" t="s">
        <v>83</v>
      </c>
      <c r="J2" t="s">
        <v>49</v>
      </c>
      <c r="K2" t="s">
        <v>48</v>
      </c>
      <c r="M2" s="7" t="s">
        <v>0</v>
      </c>
      <c r="N2" t="s">
        <v>84</v>
      </c>
      <c r="O2" t="s">
        <v>85</v>
      </c>
      <c r="P2" t="s">
        <v>23</v>
      </c>
      <c r="Q2" t="s">
        <v>45</v>
      </c>
      <c r="R2" t="s">
        <v>24</v>
      </c>
      <c r="S2" t="s">
        <v>47</v>
      </c>
      <c r="T2" t="s">
        <v>46</v>
      </c>
      <c r="U2" t="s">
        <v>83</v>
      </c>
      <c r="V2" t="s">
        <v>49</v>
      </c>
      <c r="W2" t="s">
        <v>48</v>
      </c>
      <c r="Z2" t="s">
        <v>84</v>
      </c>
      <c r="AA2" t="s">
        <v>85</v>
      </c>
      <c r="AB2" t="s">
        <v>23</v>
      </c>
      <c r="AC2" t="s">
        <v>45</v>
      </c>
      <c r="AD2" t="s">
        <v>24</v>
      </c>
      <c r="AE2" t="s">
        <v>47</v>
      </c>
      <c r="AF2" t="s">
        <v>46</v>
      </c>
      <c r="AG2" t="s">
        <v>83</v>
      </c>
      <c r="AH2" t="s">
        <v>49</v>
      </c>
      <c r="AI2" t="s">
        <v>48</v>
      </c>
    </row>
    <row r="3" spans="1:35" x14ac:dyDescent="0.4">
      <c r="A3" s="16" t="s">
        <v>0</v>
      </c>
      <c r="B3" s="17">
        <v>18256</v>
      </c>
      <c r="C3" s="17">
        <f t="shared" ref="C3:C11" si="0">I3-D3</f>
        <v>20656</v>
      </c>
      <c r="D3" s="17">
        <v>17998</v>
      </c>
      <c r="E3" s="17">
        <f t="shared" ref="E3:E16" si="1">J3-F3</f>
        <v>17703</v>
      </c>
      <c r="F3" s="17">
        <v>18281</v>
      </c>
      <c r="G3" s="17">
        <f t="shared" ref="G3:G11" si="2">K3-H3</f>
        <v>20662</v>
      </c>
      <c r="H3" s="17">
        <v>16859</v>
      </c>
      <c r="I3" s="17">
        <v>38654</v>
      </c>
      <c r="J3" s="17">
        <v>35984</v>
      </c>
      <c r="K3" s="17">
        <v>37521</v>
      </c>
      <c r="M3" s="41" t="s">
        <v>61</v>
      </c>
      <c r="N3" s="22">
        <v>1289</v>
      </c>
      <c r="O3" s="22">
        <f>U3-P3</f>
        <v>2399</v>
      </c>
      <c r="P3" s="22">
        <v>1531</v>
      </c>
      <c r="Q3" s="22">
        <f t="shared" ref="Q3:Q10" si="3">V3-R3</f>
        <v>1639</v>
      </c>
      <c r="R3" s="22">
        <v>970</v>
      </c>
      <c r="S3" s="22">
        <f t="shared" ref="S3:S12" si="4">W3-T3</f>
        <v>2059</v>
      </c>
      <c r="T3" s="22">
        <v>1341</v>
      </c>
      <c r="U3" s="22">
        <v>3930</v>
      </c>
      <c r="V3" s="22">
        <v>2609</v>
      </c>
      <c r="W3" s="22">
        <v>3400</v>
      </c>
      <c r="Y3" s="7" t="s">
        <v>27</v>
      </c>
      <c r="Z3" t="s">
        <v>84</v>
      </c>
      <c r="AA3" t="s">
        <v>85</v>
      </c>
      <c r="AB3" t="s">
        <v>23</v>
      </c>
      <c r="AC3" t="s">
        <v>45</v>
      </c>
      <c r="AD3" t="s">
        <v>24</v>
      </c>
      <c r="AE3" t="s">
        <v>47</v>
      </c>
      <c r="AF3" t="s">
        <v>46</v>
      </c>
      <c r="AG3" t="s">
        <v>83</v>
      </c>
      <c r="AH3" t="s">
        <v>49</v>
      </c>
      <c r="AI3" t="s">
        <v>48</v>
      </c>
    </row>
    <row r="4" spans="1:35" x14ac:dyDescent="0.4">
      <c r="A4" t="s">
        <v>1</v>
      </c>
      <c r="B4" s="1">
        <v>-9845</v>
      </c>
      <c r="C4" s="1">
        <f t="shared" si="0"/>
        <v>-11465</v>
      </c>
      <c r="D4" s="1">
        <v>-9804</v>
      </c>
      <c r="E4" s="1">
        <f t="shared" si="1"/>
        <v>-9500</v>
      </c>
      <c r="F4" s="1">
        <v>-9689</v>
      </c>
      <c r="G4" s="1">
        <f t="shared" si="2"/>
        <v>-10758</v>
      </c>
      <c r="H4" s="1">
        <v>-8149</v>
      </c>
      <c r="I4" s="1">
        <v>-21269</v>
      </c>
      <c r="J4" s="1">
        <v>-19189</v>
      </c>
      <c r="K4" s="1">
        <v>-18907</v>
      </c>
      <c r="M4" s="42" t="s">
        <v>60</v>
      </c>
      <c r="N4" s="43">
        <v>14868</v>
      </c>
      <c r="O4" s="43">
        <f>U4-P4</f>
        <v>15919</v>
      </c>
      <c r="P4" s="43">
        <v>14112</v>
      </c>
      <c r="Q4" s="43">
        <f t="shared" si="3"/>
        <v>16144</v>
      </c>
      <c r="R4" s="43">
        <v>13636</v>
      </c>
      <c r="S4" s="43">
        <f t="shared" si="4"/>
        <v>15935</v>
      </c>
      <c r="T4" s="43">
        <v>13768</v>
      </c>
      <c r="U4" s="43">
        <v>30031</v>
      </c>
      <c r="V4" s="43">
        <v>29780</v>
      </c>
      <c r="W4" s="43">
        <v>29703</v>
      </c>
      <c r="Y4" t="s">
        <v>59</v>
      </c>
      <c r="Z4" s="1">
        <v>5834</v>
      </c>
      <c r="AA4" s="1">
        <f t="shared" ref="AA4:AA10" si="5">AG4-AB4</f>
        <v>7018</v>
      </c>
      <c r="AB4" s="1">
        <v>5715</v>
      </c>
      <c r="AC4" s="1">
        <f t="shared" ref="AC4:AC10" si="6">AH4-AD4</f>
        <v>6812</v>
      </c>
      <c r="AD4" s="1">
        <v>5715</v>
      </c>
      <c r="AE4" s="1">
        <f t="shared" ref="AE4:AE10" si="7">AI4-AF4</f>
        <v>7084</v>
      </c>
      <c r="AF4" s="1">
        <v>5733</v>
      </c>
      <c r="AG4" s="1">
        <v>12733</v>
      </c>
      <c r="AH4" s="1">
        <v>12527</v>
      </c>
      <c r="AI4" s="1">
        <v>12817</v>
      </c>
    </row>
    <row r="5" spans="1:35" x14ac:dyDescent="0.4">
      <c r="A5" t="s">
        <v>2</v>
      </c>
      <c r="B5" s="1">
        <v>-6468</v>
      </c>
      <c r="C5" s="1">
        <f t="shared" si="0"/>
        <v>-6323</v>
      </c>
      <c r="D5" s="1">
        <v>-6346</v>
      </c>
      <c r="E5" s="1">
        <f t="shared" si="1"/>
        <v>-5652</v>
      </c>
      <c r="F5" s="1">
        <v>-6901</v>
      </c>
      <c r="G5" s="1">
        <f t="shared" si="2"/>
        <v>-6723</v>
      </c>
      <c r="H5" s="1">
        <v>-6739</v>
      </c>
      <c r="I5" s="1">
        <v>-12669</v>
      </c>
      <c r="J5" s="1">
        <v>-12553</v>
      </c>
      <c r="K5" s="1">
        <v>-13462</v>
      </c>
      <c r="M5" t="s">
        <v>59</v>
      </c>
      <c r="N5" s="1">
        <f>N3+N4</f>
        <v>16157</v>
      </c>
      <c r="O5" s="1">
        <f>O3+O4</f>
        <v>18318</v>
      </c>
      <c r="P5" s="1">
        <f>P3+P4</f>
        <v>15643</v>
      </c>
      <c r="Q5" s="1">
        <f t="shared" si="3"/>
        <v>17783</v>
      </c>
      <c r="R5" s="1">
        <f>R3+R4</f>
        <v>14606</v>
      </c>
      <c r="S5" s="1">
        <f t="shared" si="4"/>
        <v>17994</v>
      </c>
      <c r="T5" s="1">
        <f>T3+T4</f>
        <v>15109</v>
      </c>
      <c r="U5" s="1">
        <f>U3+U4</f>
        <v>33961</v>
      </c>
      <c r="V5" s="1">
        <f>V3+V4</f>
        <v>32389</v>
      </c>
      <c r="W5" s="1">
        <f>W3+W4</f>
        <v>33103</v>
      </c>
      <c r="Y5" t="s">
        <v>67</v>
      </c>
      <c r="Z5" s="1">
        <v>0</v>
      </c>
      <c r="AA5" s="1" t="e">
        <f t="shared" si="5"/>
        <v>#VALUE!</v>
      </c>
      <c r="AB5" s="1">
        <v>0</v>
      </c>
      <c r="AC5" s="1">
        <f t="shared" si="6"/>
        <v>280</v>
      </c>
      <c r="AD5" s="1">
        <v>0</v>
      </c>
      <c r="AE5" s="1">
        <f t="shared" si="7"/>
        <v>250</v>
      </c>
      <c r="AF5" s="1">
        <v>204</v>
      </c>
      <c r="AG5" s="1" t="s">
        <v>40</v>
      </c>
      <c r="AH5" s="1">
        <v>280</v>
      </c>
      <c r="AI5" s="1">
        <v>454</v>
      </c>
    </row>
    <row r="6" spans="1:35" x14ac:dyDescent="0.4">
      <c r="A6" s="37" t="s">
        <v>71</v>
      </c>
      <c r="B6" s="38">
        <v>-1436</v>
      </c>
      <c r="C6" s="38">
        <f t="shared" si="0"/>
        <v>-1527</v>
      </c>
      <c r="D6" s="38">
        <v>-1474</v>
      </c>
      <c r="E6" s="38">
        <f t="shared" si="1"/>
        <v>-1298</v>
      </c>
      <c r="F6" s="38">
        <v>-1772</v>
      </c>
      <c r="G6" s="38">
        <f t="shared" si="2"/>
        <v>-1761</v>
      </c>
      <c r="H6" s="38">
        <v>-1604</v>
      </c>
      <c r="I6" s="38">
        <v>-3001</v>
      </c>
      <c r="J6" s="38">
        <v>-3070</v>
      </c>
      <c r="K6" s="38">
        <v>-3365</v>
      </c>
      <c r="M6" t="s">
        <v>67</v>
      </c>
      <c r="N6" s="1">
        <v>0</v>
      </c>
      <c r="O6" s="1" t="e">
        <f>U6-P6</f>
        <v>#VALUE!</v>
      </c>
      <c r="P6" s="1">
        <v>0</v>
      </c>
      <c r="Q6" s="1">
        <f t="shared" si="3"/>
        <v>595</v>
      </c>
      <c r="R6" s="1">
        <v>1270</v>
      </c>
      <c r="S6" s="1">
        <f t="shared" si="4"/>
        <v>1327</v>
      </c>
      <c r="T6" s="1">
        <v>1358</v>
      </c>
      <c r="U6" s="1" t="s">
        <v>40</v>
      </c>
      <c r="V6" s="1">
        <v>1865</v>
      </c>
      <c r="W6" s="1">
        <v>2685</v>
      </c>
      <c r="Y6" t="s">
        <v>62</v>
      </c>
      <c r="Z6" s="1">
        <v>18</v>
      </c>
      <c r="AA6" s="1">
        <f t="shared" si="5"/>
        <v>-3</v>
      </c>
      <c r="AB6" s="1">
        <v>-20</v>
      </c>
      <c r="AC6" s="1">
        <f t="shared" si="6"/>
        <v>-133</v>
      </c>
      <c r="AD6" s="1">
        <v>-20</v>
      </c>
      <c r="AE6" s="1">
        <f t="shared" si="7"/>
        <v>-79</v>
      </c>
      <c r="AF6" s="1">
        <v>-235</v>
      </c>
      <c r="AG6" s="1">
        <v>-23</v>
      </c>
      <c r="AH6" s="1">
        <v>-153</v>
      </c>
      <c r="AI6" s="1">
        <v>-314</v>
      </c>
    </row>
    <row r="7" spans="1:35" x14ac:dyDescent="0.4">
      <c r="A7" s="39" t="s">
        <v>72</v>
      </c>
      <c r="B7" s="40">
        <v>-2408</v>
      </c>
      <c r="C7" s="40">
        <f t="shared" si="0"/>
        <v>-2454</v>
      </c>
      <c r="D7" s="40">
        <v>-2171</v>
      </c>
      <c r="E7" s="40">
        <f t="shared" si="1"/>
        <v>-2394</v>
      </c>
      <c r="F7" s="40">
        <v>-1953</v>
      </c>
      <c r="G7" s="40">
        <f t="shared" si="2"/>
        <v>-2147</v>
      </c>
      <c r="H7" s="40">
        <v>-1710</v>
      </c>
      <c r="I7" s="40">
        <v>-4625</v>
      </c>
      <c r="J7" s="40">
        <v>-4347</v>
      </c>
      <c r="K7" s="40">
        <v>-3857</v>
      </c>
      <c r="M7" t="s">
        <v>62</v>
      </c>
      <c r="N7" s="1">
        <v>786</v>
      </c>
      <c r="O7" s="1">
        <f>U7-P7</f>
        <v>834</v>
      </c>
      <c r="P7" s="1">
        <v>646</v>
      </c>
      <c r="Q7" s="1">
        <f t="shared" si="3"/>
        <v>685</v>
      </c>
      <c r="R7" s="1">
        <v>502</v>
      </c>
      <c r="S7" s="1">
        <f t="shared" si="4"/>
        <v>630</v>
      </c>
      <c r="T7" s="1">
        <v>441</v>
      </c>
      <c r="U7" s="1">
        <v>1480</v>
      </c>
      <c r="V7" s="1">
        <v>1187</v>
      </c>
      <c r="W7" s="1">
        <v>1071</v>
      </c>
      <c r="Y7" t="s">
        <v>63</v>
      </c>
      <c r="Z7" s="1">
        <v>79</v>
      </c>
      <c r="AA7" s="1">
        <f t="shared" si="5"/>
        <v>138</v>
      </c>
      <c r="AB7" s="1">
        <v>-44</v>
      </c>
      <c r="AC7" s="1">
        <f t="shared" si="6"/>
        <v>-121</v>
      </c>
      <c r="AD7" s="1">
        <v>-44</v>
      </c>
      <c r="AE7" s="1">
        <f t="shared" si="7"/>
        <v>-130</v>
      </c>
      <c r="AF7" s="1">
        <v>-143</v>
      </c>
      <c r="AG7" s="1">
        <v>94</v>
      </c>
      <c r="AH7" s="1">
        <v>-165</v>
      </c>
      <c r="AI7" s="1">
        <v>-273</v>
      </c>
    </row>
    <row r="8" spans="1:35" x14ac:dyDescent="0.4">
      <c r="A8" t="s">
        <v>3</v>
      </c>
      <c r="B8" s="1">
        <v>336</v>
      </c>
      <c r="C8" s="1">
        <f t="shared" si="0"/>
        <v>-62</v>
      </c>
      <c r="D8" s="1">
        <v>17</v>
      </c>
      <c r="E8" s="1">
        <f t="shared" si="1"/>
        <v>-502</v>
      </c>
      <c r="F8" s="1">
        <v>-61</v>
      </c>
      <c r="G8" s="1">
        <f t="shared" si="2"/>
        <v>72</v>
      </c>
      <c r="H8" s="1">
        <v>426</v>
      </c>
      <c r="I8" s="1">
        <v>-45</v>
      </c>
      <c r="J8" s="1">
        <v>-563</v>
      </c>
      <c r="K8" s="1">
        <v>498</v>
      </c>
      <c r="M8" t="s">
        <v>63</v>
      </c>
      <c r="N8" s="1">
        <v>388</v>
      </c>
      <c r="O8" s="1">
        <f>U8-P8</f>
        <v>544</v>
      </c>
      <c r="P8" s="1">
        <v>256</v>
      </c>
      <c r="Q8" s="1">
        <f t="shared" si="3"/>
        <v>187</v>
      </c>
      <c r="R8" s="1">
        <v>130</v>
      </c>
      <c r="S8" s="1">
        <f t="shared" si="4"/>
        <v>132</v>
      </c>
      <c r="T8" s="1">
        <v>127</v>
      </c>
      <c r="U8" s="1">
        <v>800</v>
      </c>
      <c r="V8" s="1">
        <v>317</v>
      </c>
      <c r="W8" s="1">
        <v>259</v>
      </c>
      <c r="Y8" t="s">
        <v>64</v>
      </c>
      <c r="Z8" s="1">
        <v>372</v>
      </c>
      <c r="AA8" s="1">
        <f t="shared" si="5"/>
        <v>165</v>
      </c>
      <c r="AB8" s="1">
        <v>491</v>
      </c>
      <c r="AC8" s="1">
        <f t="shared" si="6"/>
        <v>227</v>
      </c>
      <c r="AD8" s="1">
        <v>275</v>
      </c>
      <c r="AE8" s="1">
        <f t="shared" si="7"/>
        <v>721</v>
      </c>
      <c r="AF8" s="1">
        <v>293</v>
      </c>
      <c r="AG8" s="1">
        <v>656</v>
      </c>
      <c r="AH8" s="1">
        <v>502</v>
      </c>
      <c r="AI8" s="1">
        <v>1014</v>
      </c>
    </row>
    <row r="9" spans="1:35" x14ac:dyDescent="0.4">
      <c r="A9" s="20" t="s">
        <v>4</v>
      </c>
      <c r="B9" s="21">
        <f>43-721</f>
        <v>-678</v>
      </c>
      <c r="C9" s="21">
        <f t="shared" si="0"/>
        <v>-672</v>
      </c>
      <c r="D9" s="21">
        <f>27-687</f>
        <v>-660</v>
      </c>
      <c r="E9" s="21">
        <f t="shared" si="1"/>
        <v>-608</v>
      </c>
      <c r="F9" s="21">
        <f>35-998</f>
        <v>-963</v>
      </c>
      <c r="G9" s="21">
        <f t="shared" si="2"/>
        <v>-987</v>
      </c>
      <c r="H9" s="21">
        <f>40-925</f>
        <v>-885</v>
      </c>
      <c r="I9" s="21">
        <f>69-1401</f>
        <v>-1332</v>
      </c>
      <c r="J9" s="21">
        <f>67-1638</f>
        <v>-1571</v>
      </c>
      <c r="K9" s="21">
        <f>86-1958</f>
        <v>-1872</v>
      </c>
      <c r="M9" t="s">
        <v>64</v>
      </c>
      <c r="N9" s="1">
        <v>2548</v>
      </c>
      <c r="O9" s="1">
        <f>U9-P9</f>
        <v>2393</v>
      </c>
      <c r="P9" s="1">
        <v>2501</v>
      </c>
      <c r="Q9" s="1">
        <f t="shared" si="3"/>
        <v>2178</v>
      </c>
      <c r="R9" s="1">
        <v>1907</v>
      </c>
      <c r="S9" s="1">
        <f t="shared" si="4"/>
        <v>2501</v>
      </c>
      <c r="T9" s="1">
        <v>1717</v>
      </c>
      <c r="U9" s="1">
        <v>4894</v>
      </c>
      <c r="V9" s="1">
        <v>4085</v>
      </c>
      <c r="W9" s="1">
        <v>4218</v>
      </c>
      <c r="Y9" t="s">
        <v>3</v>
      </c>
      <c r="Z9" s="1">
        <v>-375</v>
      </c>
      <c r="AA9" s="1">
        <f t="shared" si="5"/>
        <v>-301</v>
      </c>
      <c r="AB9" s="1">
        <v>-237</v>
      </c>
      <c r="AC9" s="1">
        <f t="shared" si="6"/>
        <v>-223</v>
      </c>
      <c r="AD9" s="1">
        <v>-237</v>
      </c>
      <c r="AE9" s="1">
        <f t="shared" si="7"/>
        <v>-276</v>
      </c>
      <c r="AF9" s="1">
        <v>-233</v>
      </c>
      <c r="AG9" s="1">
        <v>-538</v>
      </c>
      <c r="AH9" s="1">
        <v>-460</v>
      </c>
      <c r="AI9" s="1">
        <v>-509</v>
      </c>
    </row>
    <row r="10" spans="1:35" x14ac:dyDescent="0.4">
      <c r="A10" t="s">
        <v>5</v>
      </c>
      <c r="B10" s="1">
        <v>-153</v>
      </c>
      <c r="C10" s="1">
        <f t="shared" si="0"/>
        <v>610</v>
      </c>
      <c r="D10" s="1">
        <v>-20</v>
      </c>
      <c r="E10" s="1">
        <f t="shared" si="1"/>
        <v>4</v>
      </c>
      <c r="F10" s="1">
        <v>-10</v>
      </c>
      <c r="G10" s="1">
        <f t="shared" si="2"/>
        <v>32</v>
      </c>
      <c r="H10" s="1">
        <v>22</v>
      </c>
      <c r="I10" s="1">
        <v>590</v>
      </c>
      <c r="J10" s="1">
        <v>-6</v>
      </c>
      <c r="K10" s="1">
        <v>54</v>
      </c>
      <c r="M10" s="2" t="s">
        <v>34</v>
      </c>
      <c r="N10" s="3">
        <v>-1623</v>
      </c>
      <c r="O10" s="3">
        <f>U10-P10</f>
        <v>-1433</v>
      </c>
      <c r="P10" s="3">
        <v>-1048</v>
      </c>
      <c r="Q10" s="3">
        <f t="shared" si="3"/>
        <v>-2123</v>
      </c>
      <c r="R10" s="3">
        <v>-1736</v>
      </c>
      <c r="S10" s="3">
        <f t="shared" si="4"/>
        <v>-2730</v>
      </c>
      <c r="T10" s="3">
        <v>-2100</v>
      </c>
      <c r="U10" s="3">
        <v>-2481</v>
      </c>
      <c r="V10" s="3">
        <v>-3859</v>
      </c>
      <c r="W10" s="3">
        <v>-4830</v>
      </c>
      <c r="Y10" s="2" t="s">
        <v>34</v>
      </c>
      <c r="Z10" s="3">
        <v>-141</v>
      </c>
      <c r="AA10" s="3">
        <f t="shared" si="5"/>
        <v>-418</v>
      </c>
      <c r="AB10" s="3">
        <v>-195</v>
      </c>
      <c r="AC10" s="3">
        <f t="shared" si="6"/>
        <v>-678</v>
      </c>
      <c r="AD10" s="3">
        <v>-195</v>
      </c>
      <c r="AE10" s="3">
        <f t="shared" si="7"/>
        <v>-538</v>
      </c>
      <c r="AF10" s="3">
        <v>-312</v>
      </c>
      <c r="AG10" s="3">
        <v>-613</v>
      </c>
      <c r="AH10" s="3">
        <v>-873</v>
      </c>
      <c r="AI10" s="3">
        <v>-850</v>
      </c>
    </row>
    <row r="11" spans="1:35" x14ac:dyDescent="0.4">
      <c r="A11" s="2" t="s">
        <v>6</v>
      </c>
      <c r="B11" s="3">
        <v>-9</v>
      </c>
      <c r="C11" s="3">
        <f t="shared" si="0"/>
        <v>-8</v>
      </c>
      <c r="D11" s="3">
        <v>-10</v>
      </c>
      <c r="E11" s="3">
        <f t="shared" si="1"/>
        <v>-10</v>
      </c>
      <c r="F11" s="3">
        <v>-9</v>
      </c>
      <c r="G11" s="3">
        <f t="shared" si="2"/>
        <v>-9</v>
      </c>
      <c r="H11" s="3">
        <v>-12</v>
      </c>
      <c r="I11" s="3">
        <v>-18</v>
      </c>
      <c r="J11" s="3">
        <v>-19</v>
      </c>
      <c r="K11" s="3">
        <v>-21</v>
      </c>
      <c r="M11" s="25" t="s">
        <v>65</v>
      </c>
      <c r="N11" s="26">
        <f>SUM(N5:N10)</f>
        <v>18256</v>
      </c>
      <c r="O11" s="26" t="e">
        <f>SUM(O5:O10)</f>
        <v>#VALUE!</v>
      </c>
      <c r="P11" s="26">
        <f>SUM(P5:P10)</f>
        <v>17998</v>
      </c>
      <c r="Q11" s="26">
        <f>SUM(Q5:Q10)</f>
        <v>19305</v>
      </c>
      <c r="R11" s="26">
        <f>SUM(R5:R10)</f>
        <v>16679</v>
      </c>
      <c r="S11" s="26">
        <f t="shared" si="4"/>
        <v>19854</v>
      </c>
      <c r="T11" s="26">
        <f>SUM(T5:T10)</f>
        <v>16652</v>
      </c>
      <c r="U11" s="26">
        <f>SUM(U5:U10)</f>
        <v>38654</v>
      </c>
      <c r="V11" s="26">
        <f>SUM(V5:V10)</f>
        <v>35984</v>
      </c>
      <c r="W11" s="26">
        <f>SUM(W5:W10)</f>
        <v>36506</v>
      </c>
      <c r="Y11" t="s">
        <v>73</v>
      </c>
      <c r="Z11" s="1">
        <f t="shared" ref="Z11:AE11" si="8">SUM(Z4:Z10)</f>
        <v>5787</v>
      </c>
      <c r="AA11" s="1" t="e">
        <f t="shared" si="8"/>
        <v>#VALUE!</v>
      </c>
      <c r="AB11" s="1">
        <f t="shared" si="8"/>
        <v>5710</v>
      </c>
      <c r="AC11" s="1">
        <f t="shared" si="8"/>
        <v>6164</v>
      </c>
      <c r="AD11" s="1">
        <f t="shared" si="8"/>
        <v>5494</v>
      </c>
      <c r="AE11" s="1">
        <f t="shared" si="8"/>
        <v>7032</v>
      </c>
      <c r="AF11" s="1">
        <f t="shared" ref="AF11" si="9">SUM(AF4:AF10)</f>
        <v>5307</v>
      </c>
      <c r="AG11" s="1">
        <f>SUM(AG4:AG10)</f>
        <v>12309</v>
      </c>
      <c r="AH11" s="1">
        <f>SUM(AH4:AH10)</f>
        <v>11658</v>
      </c>
      <c r="AI11" s="1">
        <f>SUM(AI4:AI10)</f>
        <v>12339</v>
      </c>
    </row>
    <row r="12" spans="1:35" x14ac:dyDescent="0.4">
      <c r="A12" s="18" t="s">
        <v>7</v>
      </c>
      <c r="B12" s="19">
        <f>SUM(B3:B5)+SUM(B8:B11)</f>
        <v>1439</v>
      </c>
      <c r="C12" s="19">
        <f>SUM(C3:C5)+SUM(C8:C11)</f>
        <v>2736</v>
      </c>
      <c r="D12" s="19">
        <f>SUM(D3:D5)+SUM(D8:D11)</f>
        <v>1175</v>
      </c>
      <c r="E12" s="19">
        <f t="shared" si="1"/>
        <v>1435</v>
      </c>
      <c r="F12" s="19">
        <f>SUM(F3:F5)+SUM(F8:F11)</f>
        <v>648</v>
      </c>
      <c r="G12" s="19">
        <f>SUM(G3:G5)+SUM(G8:G11)</f>
        <v>2289</v>
      </c>
      <c r="H12" s="19">
        <f t="shared" ref="H12:K12" si="10">SUM(H3:H5)+SUM(H8:H11)</f>
        <v>1522</v>
      </c>
      <c r="I12" s="19">
        <f>SUM(I3:I5)+SUM(I8:I11)</f>
        <v>3911</v>
      </c>
      <c r="J12" s="19">
        <f>SUM(J3:J5)+SUM(J8:J11)</f>
        <v>2083</v>
      </c>
      <c r="K12" s="19">
        <f t="shared" si="10"/>
        <v>3811</v>
      </c>
      <c r="M12" s="27" t="s">
        <v>66</v>
      </c>
      <c r="N12" s="28"/>
      <c r="O12" s="28"/>
      <c r="P12" s="28"/>
      <c r="Q12" s="28">
        <f>V12-R12</f>
        <v>-1602</v>
      </c>
      <c r="R12" s="28">
        <v>1602</v>
      </c>
      <c r="S12" s="3">
        <f t="shared" si="4"/>
        <v>808</v>
      </c>
      <c r="T12" s="28">
        <v>207</v>
      </c>
      <c r="U12" s="28"/>
      <c r="V12" s="28"/>
      <c r="W12" s="28">
        <v>1015</v>
      </c>
      <c r="Y12" s="2" t="s">
        <v>66</v>
      </c>
      <c r="Z12" s="3"/>
      <c r="AA12" s="3">
        <f>AG12-AB12</f>
        <v>102</v>
      </c>
      <c r="AB12" s="3">
        <v>-102</v>
      </c>
      <c r="AC12" s="3">
        <f>AH12-AD12</f>
        <v>28</v>
      </c>
      <c r="AD12" s="3"/>
      <c r="AE12" s="3">
        <f>AI12-AF12</f>
        <v>62</v>
      </c>
      <c r="AF12" s="3">
        <v>-20</v>
      </c>
      <c r="AG12" s="3"/>
      <c r="AH12" s="3">
        <v>28</v>
      </c>
      <c r="AI12" s="3">
        <v>42</v>
      </c>
    </row>
    <row r="13" spans="1:35" x14ac:dyDescent="0.4">
      <c r="A13" t="s">
        <v>8</v>
      </c>
      <c r="B13" s="1">
        <v>-508</v>
      </c>
      <c r="C13" s="1">
        <f>I13-D13</f>
        <v>-629</v>
      </c>
      <c r="D13" s="1">
        <v>-436</v>
      </c>
      <c r="E13" s="1">
        <f t="shared" si="1"/>
        <v>-311</v>
      </c>
      <c r="F13" s="1">
        <v>-394</v>
      </c>
      <c r="G13" s="1">
        <f>K13-H13</f>
        <v>-518</v>
      </c>
      <c r="H13" s="1">
        <v>-423</v>
      </c>
      <c r="I13" s="1">
        <v>-1065</v>
      </c>
      <c r="J13" s="1">
        <v>-705</v>
      </c>
      <c r="K13" s="1">
        <v>-941</v>
      </c>
      <c r="M13" s="16" t="s">
        <v>35</v>
      </c>
      <c r="N13" s="17">
        <f t="shared" ref="N13:S13" si="11">N11+N12</f>
        <v>18256</v>
      </c>
      <c r="O13" s="17" t="e">
        <f t="shared" si="11"/>
        <v>#VALUE!</v>
      </c>
      <c r="P13" s="17">
        <f t="shared" si="11"/>
        <v>17998</v>
      </c>
      <c r="Q13" s="17">
        <f t="shared" si="11"/>
        <v>17703</v>
      </c>
      <c r="R13" s="17">
        <f t="shared" si="11"/>
        <v>18281</v>
      </c>
      <c r="S13" s="17">
        <f t="shared" si="11"/>
        <v>20662</v>
      </c>
      <c r="T13" s="17">
        <f t="shared" ref="T13:W13" si="12">T11+T12</f>
        <v>16859</v>
      </c>
      <c r="U13" s="17">
        <f>U11+U12</f>
        <v>38654</v>
      </c>
      <c r="V13" s="17">
        <f>V11+V12</f>
        <v>35984</v>
      </c>
      <c r="W13" s="17">
        <f t="shared" si="12"/>
        <v>37521</v>
      </c>
      <c r="Y13" s="14" t="s">
        <v>27</v>
      </c>
      <c r="Z13" s="15">
        <f t="shared" ref="Z13:AE13" si="13">Z11+Z12</f>
        <v>5787</v>
      </c>
      <c r="AA13" s="15" t="e">
        <f t="shared" si="13"/>
        <v>#VALUE!</v>
      </c>
      <c r="AB13" s="15">
        <f t="shared" si="13"/>
        <v>5608</v>
      </c>
      <c r="AC13" s="15">
        <f t="shared" si="13"/>
        <v>6192</v>
      </c>
      <c r="AD13" s="15">
        <f t="shared" si="13"/>
        <v>5494</v>
      </c>
      <c r="AE13" s="15">
        <f t="shared" si="13"/>
        <v>7094</v>
      </c>
      <c r="AF13" s="15">
        <f t="shared" ref="AF13:AI13" si="14">AF11+AF12</f>
        <v>5287</v>
      </c>
      <c r="AG13" s="15">
        <f>AG11+AG12</f>
        <v>12309</v>
      </c>
      <c r="AH13" s="15">
        <f>AH11+AH12</f>
        <v>11686</v>
      </c>
      <c r="AI13" s="15">
        <f t="shared" si="14"/>
        <v>12381</v>
      </c>
    </row>
    <row r="14" spans="1:35" x14ac:dyDescent="0.4">
      <c r="A14" t="s">
        <v>53</v>
      </c>
      <c r="B14" s="1">
        <v>-118</v>
      </c>
      <c r="C14" s="1">
        <f>I14-D14</f>
        <v>-117</v>
      </c>
      <c r="D14" s="1">
        <v>-109</v>
      </c>
      <c r="E14" s="1">
        <f t="shared" si="1"/>
        <v>0</v>
      </c>
      <c r="F14" s="1">
        <v>0</v>
      </c>
      <c r="G14" s="1">
        <v>0</v>
      </c>
      <c r="H14" s="1">
        <v>0</v>
      </c>
      <c r="I14" s="1">
        <v>-226</v>
      </c>
      <c r="J14" s="1">
        <v>0</v>
      </c>
      <c r="K14" s="1">
        <v>0</v>
      </c>
      <c r="M14" t="s">
        <v>1</v>
      </c>
      <c r="N14" s="1">
        <v>-9845</v>
      </c>
      <c r="O14" s="1">
        <f>U14-P14</f>
        <v>-11465</v>
      </c>
      <c r="P14" s="1">
        <v>-9804</v>
      </c>
      <c r="Q14" s="1">
        <f>V14-R14</f>
        <v>-9500</v>
      </c>
      <c r="R14" s="1">
        <v>-9689</v>
      </c>
      <c r="S14" s="1">
        <f>W14-T14</f>
        <v>-10758</v>
      </c>
      <c r="T14" s="1">
        <v>-8149</v>
      </c>
      <c r="U14" s="1">
        <v>-21269</v>
      </c>
      <c r="V14" s="1">
        <v>-19189</v>
      </c>
      <c r="W14" s="1">
        <v>-18907</v>
      </c>
      <c r="Y14" s="49" t="s">
        <v>76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x14ac:dyDescent="0.4">
      <c r="A15" s="2" t="s">
        <v>86</v>
      </c>
      <c r="B15" s="3">
        <v>-901</v>
      </c>
      <c r="C15" s="3">
        <f>I15-D15</f>
        <v>-636</v>
      </c>
      <c r="D15" s="3">
        <f>-582-363</f>
        <v>-945</v>
      </c>
      <c r="E15" s="3">
        <f t="shared" si="1"/>
        <v>-1560</v>
      </c>
      <c r="F15" s="3">
        <v>-838</v>
      </c>
      <c r="G15" s="3">
        <f>K15-H15</f>
        <v>-1253</v>
      </c>
      <c r="H15" s="3">
        <v>-936</v>
      </c>
      <c r="I15" s="3">
        <f>101-1682</f>
        <v>-1581</v>
      </c>
      <c r="J15" s="3">
        <f>-729-1669</f>
        <v>-2398</v>
      </c>
      <c r="K15" s="3">
        <v>-2189</v>
      </c>
      <c r="M15" s="2" t="s">
        <v>50</v>
      </c>
      <c r="N15" s="3">
        <v>-2624</v>
      </c>
      <c r="O15" s="3">
        <f>U15-P15</f>
        <v>-2376</v>
      </c>
      <c r="P15" s="3">
        <v>-2700</v>
      </c>
      <c r="Q15" s="3">
        <f>V15-R15</f>
        <v>-1961</v>
      </c>
      <c r="R15" s="3">
        <v>-3176</v>
      </c>
      <c r="S15" s="3">
        <f>W15-T15</f>
        <v>-2810</v>
      </c>
      <c r="T15" s="3">
        <v>-3423</v>
      </c>
      <c r="U15" s="3">
        <v>-5076</v>
      </c>
      <c r="V15" s="3">
        <v>-5137</v>
      </c>
      <c r="W15" s="3">
        <v>-6233</v>
      </c>
      <c r="Y15" s="7" t="s">
        <v>43</v>
      </c>
      <c r="Z15" t="s">
        <v>84</v>
      </c>
      <c r="AA15" t="s">
        <v>85</v>
      </c>
      <c r="AB15" t="s">
        <v>23</v>
      </c>
      <c r="AC15" t="s">
        <v>45</v>
      </c>
      <c r="AD15" t="s">
        <v>24</v>
      </c>
      <c r="AE15" t="s">
        <v>47</v>
      </c>
      <c r="AF15" t="s">
        <v>46</v>
      </c>
      <c r="AG15" t="s">
        <v>83</v>
      </c>
      <c r="AH15" t="s">
        <v>49</v>
      </c>
      <c r="AI15" t="s">
        <v>48</v>
      </c>
    </row>
    <row r="16" spans="1:35" x14ac:dyDescent="0.4">
      <c r="A16" t="s">
        <v>9</v>
      </c>
      <c r="B16" s="1">
        <f>SUM(B12:B15)</f>
        <v>-88</v>
      </c>
      <c r="C16" s="1">
        <f>SUM(C12:C15)</f>
        <v>1354</v>
      </c>
      <c r="D16" s="1">
        <f>SUM(D12:D15)</f>
        <v>-315</v>
      </c>
      <c r="E16" s="1">
        <f t="shared" si="1"/>
        <v>-436</v>
      </c>
      <c r="F16" s="1">
        <f>SUM(F12:F15)</f>
        <v>-584</v>
      </c>
      <c r="G16" s="1">
        <f>K16-H16</f>
        <v>518</v>
      </c>
      <c r="H16" s="1">
        <f>SUM(H12:H15)</f>
        <v>163</v>
      </c>
      <c r="I16" s="1">
        <f>SUM(I12:I15)</f>
        <v>1039</v>
      </c>
      <c r="J16" s="1">
        <f>SUM(J12:J15)</f>
        <v>-1020</v>
      </c>
      <c r="K16" s="1">
        <f>SUM(K12:K15)</f>
        <v>681</v>
      </c>
      <c r="M16" s="14" t="s">
        <v>27</v>
      </c>
      <c r="N16" s="15">
        <f t="shared" ref="N16:S16" si="15">N13+N14+N15</f>
        <v>5787</v>
      </c>
      <c r="O16" s="15" t="e">
        <f t="shared" si="15"/>
        <v>#VALUE!</v>
      </c>
      <c r="P16" s="15">
        <f t="shared" si="15"/>
        <v>5494</v>
      </c>
      <c r="Q16" s="15">
        <f t="shared" si="15"/>
        <v>6242</v>
      </c>
      <c r="R16" s="15">
        <f t="shared" si="15"/>
        <v>5416</v>
      </c>
      <c r="S16" s="15">
        <f t="shared" si="15"/>
        <v>7094</v>
      </c>
      <c r="T16" s="15">
        <f t="shared" ref="T16:W16" si="16">T13+T14+T15</f>
        <v>5287</v>
      </c>
      <c r="U16" s="15">
        <f>U13+U14+U15</f>
        <v>12309</v>
      </c>
      <c r="V16" s="15">
        <f>V13+V14+V15</f>
        <v>11658</v>
      </c>
      <c r="W16" s="15">
        <f t="shared" si="16"/>
        <v>12381</v>
      </c>
      <c r="Y16" s="25" t="s">
        <v>59</v>
      </c>
      <c r="Z16" s="30">
        <f t="shared" ref="Z16:AI16" si="17">Z4/N5</f>
        <v>0.36108188401312125</v>
      </c>
      <c r="AA16" s="30">
        <f t="shared" si="17"/>
        <v>0.3831204279943225</v>
      </c>
      <c r="AB16" s="30">
        <f t="shared" si="17"/>
        <v>0.36533912932301987</v>
      </c>
      <c r="AC16" s="30">
        <f t="shared" si="17"/>
        <v>0.38306247539785188</v>
      </c>
      <c r="AD16" s="30">
        <f t="shared" si="17"/>
        <v>0.39127755716828699</v>
      </c>
      <c r="AE16" s="30">
        <f t="shared" si="17"/>
        <v>0.3936867844837168</v>
      </c>
      <c r="AF16" s="30">
        <f t="shared" si="17"/>
        <v>0.37944271626183068</v>
      </c>
      <c r="AG16" s="30">
        <f t="shared" si="17"/>
        <v>0.37493006684137686</v>
      </c>
      <c r="AH16" s="30">
        <f t="shared" si="17"/>
        <v>0.38676711229120997</v>
      </c>
      <c r="AI16" s="30">
        <f t="shared" si="17"/>
        <v>0.38718545146965533</v>
      </c>
    </row>
    <row r="17" spans="1:35" x14ac:dyDescent="0.4">
      <c r="B17" s="1"/>
      <c r="C17" s="1"/>
      <c r="D17" s="1"/>
      <c r="E17" s="1"/>
      <c r="F17" s="1"/>
      <c r="G17" s="1"/>
      <c r="H17" s="1"/>
      <c r="I17" s="1"/>
      <c r="J17" s="1"/>
      <c r="K17" s="1"/>
      <c r="M17" s="32" t="s">
        <v>69</v>
      </c>
      <c r="N17" s="33">
        <v>-1436</v>
      </c>
      <c r="O17" s="33">
        <f t="shared" ref="O17:O22" si="18">U17-P17</f>
        <v>-1527</v>
      </c>
      <c r="P17" s="33">
        <v>-1474</v>
      </c>
      <c r="Q17" s="33">
        <f t="shared" ref="Q17:Q22" si="19">V17-R17</f>
        <v>-1298</v>
      </c>
      <c r="R17" s="33">
        <v>-1772</v>
      </c>
      <c r="S17" s="33">
        <f t="shared" ref="S17:S22" si="20">W17-T17</f>
        <v>-1761</v>
      </c>
      <c r="T17" s="33">
        <v>-1604</v>
      </c>
      <c r="U17" s="33">
        <v>-3001</v>
      </c>
      <c r="V17" s="33">
        <v>-3070</v>
      </c>
      <c r="W17" s="33">
        <v>-3365</v>
      </c>
      <c r="Y17" s="25" t="s">
        <v>67</v>
      </c>
      <c r="Z17" s="36" t="s">
        <v>40</v>
      </c>
      <c r="AA17" s="36" t="s">
        <v>40</v>
      </c>
      <c r="AB17" s="36" t="s">
        <v>40</v>
      </c>
      <c r="AC17" s="30">
        <f t="shared" ref="AC17:AI20" si="21">AC5/Q6</f>
        <v>0.47058823529411764</v>
      </c>
      <c r="AD17" s="30">
        <f t="shared" si="21"/>
        <v>0</v>
      </c>
      <c r="AE17" s="30">
        <f t="shared" si="21"/>
        <v>0.18839487565938207</v>
      </c>
      <c r="AF17" s="30">
        <f t="shared" si="21"/>
        <v>0.15022091310751104</v>
      </c>
      <c r="AG17" s="30" t="e">
        <f t="shared" si="21"/>
        <v>#VALUE!</v>
      </c>
      <c r="AH17" s="30">
        <f t="shared" si="21"/>
        <v>0.15013404825737264</v>
      </c>
      <c r="AI17" s="30">
        <f t="shared" si="21"/>
        <v>0.1690875232774674</v>
      </c>
    </row>
    <row r="18" spans="1:35" x14ac:dyDescent="0.4">
      <c r="A18" s="14" t="s">
        <v>27</v>
      </c>
      <c r="B18" s="15">
        <v>5834</v>
      </c>
      <c r="C18" s="15">
        <f>I18-D18</f>
        <v>6594</v>
      </c>
      <c r="D18" s="15">
        <v>5715</v>
      </c>
      <c r="E18" s="15">
        <f>J18-F18</f>
        <v>6242</v>
      </c>
      <c r="F18" s="15">
        <v>5416</v>
      </c>
      <c r="G18" s="15">
        <f>K18-H18</f>
        <v>7094</v>
      </c>
      <c r="H18" s="15">
        <v>5287</v>
      </c>
      <c r="I18" s="15">
        <v>12309</v>
      </c>
      <c r="J18" s="15">
        <v>11658</v>
      </c>
      <c r="K18" s="15">
        <v>12381</v>
      </c>
      <c r="M18" s="34" t="s">
        <v>70</v>
      </c>
      <c r="N18" s="35">
        <v>-2408</v>
      </c>
      <c r="O18" s="35">
        <f t="shared" si="18"/>
        <v>-2454</v>
      </c>
      <c r="P18" s="35">
        <v>-2171</v>
      </c>
      <c r="Q18" s="35">
        <f t="shared" si="19"/>
        <v>-2394</v>
      </c>
      <c r="R18" s="35">
        <v>-1953</v>
      </c>
      <c r="S18" s="35">
        <f t="shared" si="20"/>
        <v>-2147</v>
      </c>
      <c r="T18" s="35">
        <v>-1710</v>
      </c>
      <c r="U18" s="35">
        <v>-4625</v>
      </c>
      <c r="V18" s="35">
        <v>-4347</v>
      </c>
      <c r="W18" s="35">
        <v>-3857</v>
      </c>
      <c r="Y18" s="25" t="s">
        <v>62</v>
      </c>
      <c r="Z18" s="30">
        <f t="shared" ref="Z18:AB20" si="22">Z6/N7</f>
        <v>2.2900763358778626E-2</v>
      </c>
      <c r="AA18" s="30">
        <f t="shared" si="22"/>
        <v>-3.5971223021582736E-3</v>
      </c>
      <c r="AB18" s="30">
        <f t="shared" si="22"/>
        <v>-3.0959752321981424E-2</v>
      </c>
      <c r="AC18" s="30">
        <f t="shared" si="21"/>
        <v>-0.19416058394160585</v>
      </c>
      <c r="AD18" s="30">
        <f t="shared" si="21"/>
        <v>-3.9840637450199202E-2</v>
      </c>
      <c r="AE18" s="30">
        <f t="shared" si="21"/>
        <v>-0.1253968253968254</v>
      </c>
      <c r="AF18" s="30">
        <f t="shared" si="21"/>
        <v>-0.53287981859410427</v>
      </c>
      <c r="AG18" s="30">
        <f t="shared" si="21"/>
        <v>-1.5540540540540541E-2</v>
      </c>
      <c r="AH18" s="30">
        <f t="shared" si="21"/>
        <v>-0.12889637742207244</v>
      </c>
      <c r="AI18" s="30">
        <f t="shared" si="21"/>
        <v>-0.29318394024276379</v>
      </c>
    </row>
    <row r="19" spans="1:35" x14ac:dyDescent="0.4">
      <c r="A19" t="s">
        <v>28</v>
      </c>
      <c r="B19" s="1">
        <v>7723.2749999999996</v>
      </c>
      <c r="C19" s="1">
        <v>7720.2030000000004</v>
      </c>
      <c r="D19" s="1">
        <v>7720.2030000000004</v>
      </c>
      <c r="E19" s="1">
        <f>J19*2-F19</f>
        <v>7719.0429999999988</v>
      </c>
      <c r="F19" s="1">
        <v>7714.8370000000004</v>
      </c>
      <c r="G19" s="1">
        <f>K19*2-H19</f>
        <v>7721.6480000000001</v>
      </c>
      <c r="H19" s="1">
        <v>7721.03</v>
      </c>
      <c r="I19" s="1">
        <v>7728.3410000000003</v>
      </c>
      <c r="J19" s="1">
        <v>7716.94</v>
      </c>
      <c r="K19" s="1">
        <v>7721.3389999999999</v>
      </c>
      <c r="M19" t="s">
        <v>41</v>
      </c>
      <c r="N19" s="1">
        <v>0</v>
      </c>
      <c r="O19" s="1">
        <f t="shared" si="18"/>
        <v>34</v>
      </c>
      <c r="P19" s="1">
        <v>-1</v>
      </c>
      <c r="Q19" s="1">
        <f t="shared" si="19"/>
        <v>1</v>
      </c>
      <c r="R19" s="1">
        <v>0</v>
      </c>
      <c r="S19" s="1">
        <f t="shared" si="20"/>
        <v>-5</v>
      </c>
      <c r="T19" s="1">
        <v>-2</v>
      </c>
      <c r="U19" s="1">
        <v>33</v>
      </c>
      <c r="V19" s="1">
        <v>1</v>
      </c>
      <c r="W19" s="1">
        <v>-7</v>
      </c>
      <c r="Y19" s="25" t="s">
        <v>63</v>
      </c>
      <c r="Z19" s="30">
        <f t="shared" si="22"/>
        <v>0.20360824742268041</v>
      </c>
      <c r="AA19" s="30">
        <f t="shared" si="22"/>
        <v>0.25367647058823528</v>
      </c>
      <c r="AB19" s="30">
        <f t="shared" si="22"/>
        <v>-0.171875</v>
      </c>
      <c r="AC19" s="30">
        <f t="shared" si="21"/>
        <v>-0.6470588235294118</v>
      </c>
      <c r="AD19" s="30">
        <f t="shared" si="21"/>
        <v>-0.33846153846153848</v>
      </c>
      <c r="AE19" s="30">
        <f t="shared" si="21"/>
        <v>-0.98484848484848486</v>
      </c>
      <c r="AF19" s="30">
        <f t="shared" si="21"/>
        <v>-1.1259842519685039</v>
      </c>
      <c r="AG19" s="30">
        <f t="shared" si="21"/>
        <v>0.11749999999999999</v>
      </c>
      <c r="AH19" s="30">
        <f t="shared" si="21"/>
        <v>-0.52050473186119872</v>
      </c>
      <c r="AI19" s="30">
        <f t="shared" si="21"/>
        <v>-1.0540540540540539</v>
      </c>
    </row>
    <row r="20" spans="1:35" x14ac:dyDescent="0.4">
      <c r="A20" t="s">
        <v>11</v>
      </c>
      <c r="B20" s="4">
        <f t="shared" ref="B20:G20" si="23">B16/B19</f>
        <v>-1.1394130080827111E-2</v>
      </c>
      <c r="C20" s="4">
        <f t="shared" si="23"/>
        <v>0.17538398925520482</v>
      </c>
      <c r="D20" s="4">
        <f t="shared" si="23"/>
        <v>-4.0802035905014411E-2</v>
      </c>
      <c r="E20" s="4">
        <f t="shared" si="23"/>
        <v>-5.6483685866240162E-2</v>
      </c>
      <c r="F20" s="4">
        <f t="shared" si="23"/>
        <v>-7.5698294079317552E-2</v>
      </c>
      <c r="G20" s="4">
        <f t="shared" si="23"/>
        <v>6.7084125046881188E-2</v>
      </c>
      <c r="H20" s="4">
        <f t="shared" ref="H20:K20" si="24">H16/H19</f>
        <v>2.1111172991168277E-2</v>
      </c>
      <c r="I20" s="4">
        <f>I16/I19</f>
        <v>0.13444023756198129</v>
      </c>
      <c r="J20" s="4">
        <f>J16/J19</f>
        <v>-0.13217674363154308</v>
      </c>
      <c r="K20" s="4">
        <f t="shared" si="24"/>
        <v>8.8197137828037342E-2</v>
      </c>
      <c r="M20" t="s">
        <v>3</v>
      </c>
      <c r="N20" s="1">
        <v>336</v>
      </c>
      <c r="O20" s="1">
        <f t="shared" si="18"/>
        <v>-62</v>
      </c>
      <c r="P20" s="1">
        <v>17</v>
      </c>
      <c r="Q20" s="1">
        <f t="shared" si="19"/>
        <v>-502</v>
      </c>
      <c r="R20" s="1">
        <v>-61</v>
      </c>
      <c r="S20" s="1">
        <f t="shared" si="20"/>
        <v>72</v>
      </c>
      <c r="T20" s="1">
        <v>426</v>
      </c>
      <c r="U20" s="1">
        <v>-45</v>
      </c>
      <c r="V20" s="1">
        <v>-563</v>
      </c>
      <c r="W20" s="1">
        <v>498</v>
      </c>
      <c r="Y20" s="25" t="s">
        <v>64</v>
      </c>
      <c r="Z20" s="30">
        <f t="shared" si="22"/>
        <v>0.14599686028257458</v>
      </c>
      <c r="AA20" s="30">
        <f t="shared" si="22"/>
        <v>6.8951107396573341E-2</v>
      </c>
      <c r="AB20" s="30">
        <f t="shared" si="22"/>
        <v>0.19632147141143544</v>
      </c>
      <c r="AC20" s="30">
        <f t="shared" si="21"/>
        <v>0.10422405876951331</v>
      </c>
      <c r="AD20" s="30">
        <f t="shared" si="21"/>
        <v>0.14420555846879915</v>
      </c>
      <c r="AE20" s="30">
        <f t="shared" si="21"/>
        <v>0.2882846861255498</v>
      </c>
      <c r="AF20" s="30">
        <f t="shared" si="21"/>
        <v>0.17064647641234712</v>
      </c>
      <c r="AG20" s="30">
        <f t="shared" si="21"/>
        <v>0.13404168369431957</v>
      </c>
      <c r="AH20" s="30">
        <f t="shared" si="21"/>
        <v>0.12288861689106487</v>
      </c>
      <c r="AI20" s="30">
        <f t="shared" si="21"/>
        <v>0.24039829302987198</v>
      </c>
    </row>
    <row r="21" spans="1:35" x14ac:dyDescent="0.4">
      <c r="A21" t="s">
        <v>12</v>
      </c>
      <c r="B21">
        <v>9.5600000000000004E-2</v>
      </c>
      <c r="C21">
        <v>0.27689999999999998</v>
      </c>
      <c r="D21">
        <v>9.3600000000000003E-2</v>
      </c>
      <c r="E21">
        <v>0.23</v>
      </c>
      <c r="F21">
        <v>9.1800000000000007E-2</v>
      </c>
      <c r="G21">
        <v>0.23</v>
      </c>
      <c r="H21">
        <v>9.1800000000000007E-2</v>
      </c>
      <c r="I21">
        <f>C21+D21</f>
        <v>0.3705</v>
      </c>
      <c r="J21">
        <f>F21+E21</f>
        <v>0.32180000000000003</v>
      </c>
      <c r="K21">
        <f>H21+G21</f>
        <v>0.32180000000000003</v>
      </c>
      <c r="M21" s="20" t="s">
        <v>52</v>
      </c>
      <c r="N21" s="21">
        <f>43-721</f>
        <v>-678</v>
      </c>
      <c r="O21" s="21">
        <f t="shared" si="18"/>
        <v>-672</v>
      </c>
      <c r="P21" s="21">
        <f>27-687</f>
        <v>-660</v>
      </c>
      <c r="Q21" s="21">
        <f t="shared" si="19"/>
        <v>-608</v>
      </c>
      <c r="R21" s="21">
        <f>-998+35</f>
        <v>-963</v>
      </c>
      <c r="S21" s="21">
        <f t="shared" si="20"/>
        <v>-987</v>
      </c>
      <c r="T21" s="21">
        <f>40-925</f>
        <v>-885</v>
      </c>
      <c r="U21" s="21">
        <f>69-1401</f>
        <v>-1332</v>
      </c>
      <c r="V21" s="21">
        <f>67-1638</f>
        <v>-1571</v>
      </c>
      <c r="W21" s="21">
        <f>86-1958</f>
        <v>-1872</v>
      </c>
      <c r="Y21" s="25" t="s">
        <v>3</v>
      </c>
      <c r="Z21" s="30">
        <f t="shared" ref="Z21:AI21" si="25">Z13/N11</f>
        <v>0.31699167397020156</v>
      </c>
      <c r="AA21" s="30" t="e">
        <f t="shared" si="25"/>
        <v>#VALUE!</v>
      </c>
      <c r="AB21" s="30">
        <f t="shared" si="25"/>
        <v>0.31159017668629846</v>
      </c>
      <c r="AC21" s="30">
        <f t="shared" si="25"/>
        <v>0.32074592074592073</v>
      </c>
      <c r="AD21" s="30">
        <f t="shared" si="25"/>
        <v>0.32939624677738472</v>
      </c>
      <c r="AE21" s="30">
        <f t="shared" si="25"/>
        <v>0.35730835096202279</v>
      </c>
      <c r="AF21" s="30">
        <f t="shared" si="25"/>
        <v>0.31749939947153494</v>
      </c>
      <c r="AG21" s="30">
        <f t="shared" si="25"/>
        <v>0.31844052361980651</v>
      </c>
      <c r="AH21" s="30">
        <f t="shared" si="25"/>
        <v>0.32475544686527347</v>
      </c>
      <c r="AI21" s="30">
        <f t="shared" si="25"/>
        <v>0.33914972881170219</v>
      </c>
    </row>
    <row r="22" spans="1:35" x14ac:dyDescent="0.4">
      <c r="M22" s="2" t="s">
        <v>42</v>
      </c>
      <c r="N22" s="3">
        <v>-162</v>
      </c>
      <c r="O22" s="3">
        <f t="shared" si="18"/>
        <v>602</v>
      </c>
      <c r="P22" s="3">
        <v>-30</v>
      </c>
      <c r="Q22" s="3">
        <f t="shared" si="19"/>
        <v>-6</v>
      </c>
      <c r="R22" s="3">
        <v>-19</v>
      </c>
      <c r="S22" s="3">
        <f t="shared" si="20"/>
        <v>23</v>
      </c>
      <c r="T22" s="3">
        <v>10</v>
      </c>
      <c r="U22" s="3">
        <v>572</v>
      </c>
      <c r="V22" s="3">
        <v>-25</v>
      </c>
      <c r="W22" s="3">
        <v>33</v>
      </c>
      <c r="Y22" s="31" t="s">
        <v>34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 x14ac:dyDescent="0.4">
      <c r="A23" s="49" t="s">
        <v>76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M23" s="18" t="s">
        <v>44</v>
      </c>
      <c r="N23" s="19">
        <f t="shared" ref="N23:S23" si="26">SUM(N16:N22)</f>
        <v>1439</v>
      </c>
      <c r="O23" s="19" t="e">
        <f t="shared" si="26"/>
        <v>#VALUE!</v>
      </c>
      <c r="P23" s="19">
        <f t="shared" si="26"/>
        <v>1175</v>
      </c>
      <c r="Q23" s="19">
        <f t="shared" si="26"/>
        <v>1435</v>
      </c>
      <c r="R23" s="19">
        <f t="shared" si="26"/>
        <v>648</v>
      </c>
      <c r="S23" s="19">
        <f t="shared" si="26"/>
        <v>2289</v>
      </c>
      <c r="T23" s="19">
        <f t="shared" ref="T23:W23" si="27">SUM(T16:T22)</f>
        <v>1522</v>
      </c>
      <c r="U23" s="19">
        <f>SUM(U16:U22)</f>
        <v>3911</v>
      </c>
      <c r="V23" s="19">
        <f>SUM(V16:V22)</f>
        <v>2083</v>
      </c>
      <c r="W23" s="19">
        <f t="shared" si="27"/>
        <v>3811</v>
      </c>
      <c r="Y23" s="31" t="s">
        <v>73</v>
      </c>
      <c r="Z23" s="30">
        <f t="shared" ref="Z23:AI25" si="28">Z11/N11</f>
        <v>0.31699167397020156</v>
      </c>
      <c r="AA23" s="30" t="e">
        <f t="shared" si="28"/>
        <v>#VALUE!</v>
      </c>
      <c r="AB23" s="30">
        <f t="shared" si="28"/>
        <v>0.31725747305256141</v>
      </c>
      <c r="AC23" s="30">
        <f t="shared" si="28"/>
        <v>0.3192955192955193</v>
      </c>
      <c r="AD23" s="30">
        <f t="shared" si="28"/>
        <v>0.32939624677738472</v>
      </c>
      <c r="AE23" s="30">
        <f t="shared" si="28"/>
        <v>0.35418555454820189</v>
      </c>
      <c r="AF23" s="30">
        <f t="shared" si="28"/>
        <v>0.31870045640163341</v>
      </c>
      <c r="AG23" s="30">
        <f t="shared" si="28"/>
        <v>0.31844052361980651</v>
      </c>
      <c r="AH23" s="30">
        <f t="shared" si="28"/>
        <v>0.3239773232547799</v>
      </c>
      <c r="AI23" s="30">
        <f t="shared" si="28"/>
        <v>0.33799923300279405</v>
      </c>
    </row>
    <row r="24" spans="1:35" x14ac:dyDescent="0.4">
      <c r="A24" t="s">
        <v>19</v>
      </c>
      <c r="B24" s="1">
        <v>74659</v>
      </c>
      <c r="C24" s="1">
        <f>I24</f>
        <v>75602</v>
      </c>
      <c r="D24" s="1">
        <v>82085</v>
      </c>
      <c r="E24" s="1">
        <f>J24</f>
        <v>80528</v>
      </c>
      <c r="F24" s="1">
        <v>79193</v>
      </c>
      <c r="G24" s="1">
        <f>K24</f>
        <v>78027</v>
      </c>
      <c r="H24" s="1">
        <v>74655</v>
      </c>
      <c r="I24" s="1">
        <v>75602</v>
      </c>
      <c r="J24" s="1">
        <v>80528</v>
      </c>
      <c r="K24" s="1">
        <v>78027</v>
      </c>
      <c r="Y24" s="31" t="s">
        <v>66</v>
      </c>
      <c r="Z24" s="30" t="e">
        <f t="shared" si="28"/>
        <v>#DIV/0!</v>
      </c>
      <c r="AA24" s="30" t="e">
        <f t="shared" si="28"/>
        <v>#DIV/0!</v>
      </c>
      <c r="AB24" s="30" t="e">
        <f t="shared" si="28"/>
        <v>#DIV/0!</v>
      </c>
      <c r="AC24" s="30">
        <f t="shared" si="28"/>
        <v>-1.7478152309612985E-2</v>
      </c>
      <c r="AD24" s="30">
        <f t="shared" si="28"/>
        <v>0</v>
      </c>
      <c r="AE24" s="30">
        <f t="shared" si="28"/>
        <v>7.6732673267326731E-2</v>
      </c>
      <c r="AF24" s="30">
        <f t="shared" si="28"/>
        <v>-9.6618357487922704E-2</v>
      </c>
      <c r="AG24" s="30" t="e">
        <f t="shared" si="28"/>
        <v>#DIV/0!</v>
      </c>
      <c r="AH24" s="30" t="e">
        <f t="shared" si="28"/>
        <v>#DIV/0!</v>
      </c>
      <c r="AI24" s="30">
        <f t="shared" si="28"/>
        <v>4.1379310344827586E-2</v>
      </c>
    </row>
    <row r="25" spans="1:35" x14ac:dyDescent="0.4">
      <c r="A25" s="2" t="s">
        <v>20</v>
      </c>
      <c r="B25" s="3">
        <v>18595</v>
      </c>
      <c r="C25" s="3">
        <f>I25</f>
        <v>18621</v>
      </c>
      <c r="D25" s="3">
        <v>20248</v>
      </c>
      <c r="E25" s="3">
        <f>J25</f>
        <v>17311</v>
      </c>
      <c r="F25" s="3">
        <v>18360</v>
      </c>
      <c r="G25" s="3">
        <f>K25</f>
        <v>20868</v>
      </c>
      <c r="H25" s="3">
        <v>18231</v>
      </c>
      <c r="I25" s="3">
        <v>18621</v>
      </c>
      <c r="J25" s="3">
        <v>17311</v>
      </c>
      <c r="K25" s="3">
        <v>20868</v>
      </c>
      <c r="Y25" s="31" t="s">
        <v>27</v>
      </c>
      <c r="Z25" s="30">
        <f t="shared" si="28"/>
        <v>0.31699167397020156</v>
      </c>
      <c r="AA25" s="30" t="e">
        <f t="shared" si="28"/>
        <v>#VALUE!</v>
      </c>
      <c r="AB25" s="30">
        <f t="shared" si="28"/>
        <v>0.31159017668629846</v>
      </c>
      <c r="AC25" s="30">
        <f t="shared" si="28"/>
        <v>0.34977122521606507</v>
      </c>
      <c r="AD25" s="30">
        <f t="shared" si="28"/>
        <v>0.30053060554674255</v>
      </c>
      <c r="AE25" s="30">
        <f t="shared" si="28"/>
        <v>0.34333559190785018</v>
      </c>
      <c r="AF25" s="30">
        <f t="shared" si="28"/>
        <v>0.31360104395278487</v>
      </c>
      <c r="AG25" s="30">
        <f t="shared" si="28"/>
        <v>0.31844052361980651</v>
      </c>
      <c r="AH25" s="30">
        <f t="shared" si="28"/>
        <v>0.32475544686527347</v>
      </c>
      <c r="AI25" s="30">
        <f t="shared" si="28"/>
        <v>0.32997521388022705</v>
      </c>
    </row>
    <row r="26" spans="1:35" x14ac:dyDescent="0.4">
      <c r="A26" t="s">
        <v>13</v>
      </c>
      <c r="B26" s="1">
        <f t="shared" ref="B26:G26" si="29">B24+B25</f>
        <v>93254</v>
      </c>
      <c r="C26" s="1">
        <f t="shared" si="29"/>
        <v>94223</v>
      </c>
      <c r="D26" s="1">
        <f t="shared" si="29"/>
        <v>102333</v>
      </c>
      <c r="E26" s="1">
        <f t="shared" si="29"/>
        <v>97839</v>
      </c>
      <c r="F26" s="1">
        <f t="shared" si="29"/>
        <v>97553</v>
      </c>
      <c r="G26" s="1">
        <f t="shared" si="29"/>
        <v>98895</v>
      </c>
      <c r="H26" s="1">
        <f t="shared" ref="H26:K26" si="30">H24+H25</f>
        <v>92886</v>
      </c>
      <c r="I26" s="1">
        <f>I24+I25</f>
        <v>94223</v>
      </c>
      <c r="J26" s="1">
        <f>J24+J25</f>
        <v>97839</v>
      </c>
      <c r="K26" s="1">
        <f t="shared" si="30"/>
        <v>98895</v>
      </c>
    </row>
    <row r="27" spans="1:35" x14ac:dyDescent="0.4">
      <c r="A27" s="12" t="s">
        <v>54</v>
      </c>
      <c r="B27" s="23">
        <v>17979</v>
      </c>
      <c r="C27" s="23">
        <f>I27</f>
        <v>18248</v>
      </c>
      <c r="D27" s="23">
        <v>18460</v>
      </c>
      <c r="E27" s="23">
        <f>J27</f>
        <v>18461</v>
      </c>
      <c r="F27" s="23">
        <v>18331</v>
      </c>
      <c r="G27" s="23">
        <f>K27</f>
        <v>18344</v>
      </c>
      <c r="H27" s="23">
        <v>18194</v>
      </c>
      <c r="I27" s="23">
        <v>18248</v>
      </c>
      <c r="J27" s="23">
        <v>18461</v>
      </c>
      <c r="K27" s="23">
        <v>18344</v>
      </c>
    </row>
    <row r="28" spans="1:35" x14ac:dyDescent="0.4">
      <c r="A28" s="12" t="s">
        <v>55</v>
      </c>
      <c r="B28" s="23">
        <v>17664</v>
      </c>
      <c r="C28" s="23">
        <f>I28</f>
        <v>18572</v>
      </c>
      <c r="D28" s="23">
        <v>15871</v>
      </c>
      <c r="E28" s="23">
        <f>J28</f>
        <v>14534</v>
      </c>
      <c r="F28" s="23">
        <v>13895</v>
      </c>
      <c r="G28" s="23">
        <f>K28</f>
        <v>13331</v>
      </c>
      <c r="H28" s="23">
        <v>11328</v>
      </c>
      <c r="I28" s="23">
        <v>18572</v>
      </c>
      <c r="J28" s="23">
        <v>14534</v>
      </c>
      <c r="K28" s="23">
        <v>13331</v>
      </c>
    </row>
    <row r="29" spans="1:35" x14ac:dyDescent="0.4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35" x14ac:dyDescent="0.4">
      <c r="A30" t="s">
        <v>21</v>
      </c>
      <c r="B30" s="1">
        <v>58218</v>
      </c>
      <c r="C30" s="1">
        <f>I30</f>
        <v>57126</v>
      </c>
      <c r="D30" s="1">
        <v>65941</v>
      </c>
      <c r="E30" s="1">
        <f>J30</f>
        <v>65951</v>
      </c>
      <c r="F30" s="1">
        <v>65112</v>
      </c>
      <c r="G30" s="1">
        <f>K30</f>
        <v>64636</v>
      </c>
      <c r="H30" s="1">
        <v>59273</v>
      </c>
      <c r="I30" s="1">
        <v>57126</v>
      </c>
      <c r="J30" s="1">
        <v>65951</v>
      </c>
      <c r="K30" s="1">
        <v>64636</v>
      </c>
    </row>
    <row r="31" spans="1:35" x14ac:dyDescent="0.4">
      <c r="A31" s="2" t="s">
        <v>22</v>
      </c>
      <c r="B31" s="3">
        <v>22635</v>
      </c>
      <c r="C31" s="3">
        <f>I31</f>
        <v>21615</v>
      </c>
      <c r="D31" s="3">
        <v>19976</v>
      </c>
      <c r="E31" s="3">
        <f>J31</f>
        <v>18334</v>
      </c>
      <c r="F31" s="3">
        <v>17603</v>
      </c>
      <c r="G31" s="3">
        <f>K31</f>
        <v>16287</v>
      </c>
      <c r="H31" s="3">
        <v>15707</v>
      </c>
      <c r="I31" s="3">
        <v>21615</v>
      </c>
      <c r="J31" s="3">
        <v>18334</v>
      </c>
      <c r="K31" s="3">
        <v>16287</v>
      </c>
    </row>
    <row r="32" spans="1:35" x14ac:dyDescent="0.4">
      <c r="A32" t="s">
        <v>14</v>
      </c>
      <c r="B32" s="1">
        <f t="shared" ref="B32:G32" si="31">B30+B31</f>
        <v>80853</v>
      </c>
      <c r="C32" s="1">
        <f t="shared" si="31"/>
        <v>78741</v>
      </c>
      <c r="D32" s="1">
        <f t="shared" si="31"/>
        <v>85917</v>
      </c>
      <c r="E32" s="1">
        <f t="shared" si="31"/>
        <v>84285</v>
      </c>
      <c r="F32" s="1">
        <f t="shared" si="31"/>
        <v>82715</v>
      </c>
      <c r="G32" s="1">
        <f t="shared" si="31"/>
        <v>80923</v>
      </c>
      <c r="H32" s="1">
        <f t="shared" ref="H32:K32" si="32">H30+H31</f>
        <v>74980</v>
      </c>
      <c r="I32" s="1">
        <f>I30+I31</f>
        <v>78741</v>
      </c>
      <c r="J32" s="1">
        <f>J30+J31</f>
        <v>84285</v>
      </c>
      <c r="K32" s="1">
        <f t="shared" si="32"/>
        <v>80923</v>
      </c>
    </row>
    <row r="33" spans="1:11" x14ac:dyDescent="0.4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4">
      <c r="A34" t="s">
        <v>25</v>
      </c>
      <c r="B34" s="1">
        <f>B26-B32</f>
        <v>12401</v>
      </c>
      <c r="C34" s="1">
        <f>C26-C32</f>
        <v>15482</v>
      </c>
      <c r="D34" s="1">
        <f>D26-D32</f>
        <v>16416</v>
      </c>
      <c r="E34" s="1">
        <f>J34</f>
        <v>13554</v>
      </c>
      <c r="F34" s="1">
        <f>F26-F32</f>
        <v>14838</v>
      </c>
      <c r="G34" s="1">
        <f>G26-G32</f>
        <v>17972</v>
      </c>
      <c r="H34" s="1">
        <f t="shared" ref="H34:K34" si="33">H26-H32</f>
        <v>17906</v>
      </c>
      <c r="I34" s="1">
        <f>I26-I32</f>
        <v>15482</v>
      </c>
      <c r="J34" s="1">
        <f>J26-J32</f>
        <v>13554</v>
      </c>
      <c r="K34" s="1">
        <f t="shared" si="33"/>
        <v>17972</v>
      </c>
    </row>
    <row r="35" spans="1:11" x14ac:dyDescent="0.4">
      <c r="A35" t="s">
        <v>53</v>
      </c>
      <c r="B35" s="1">
        <v>5887</v>
      </c>
      <c r="C35" s="1">
        <f>I35</f>
        <v>5886</v>
      </c>
      <c r="D35" s="1">
        <v>5885</v>
      </c>
      <c r="E35" s="1">
        <f>J35</f>
        <v>0</v>
      </c>
      <c r="F35" s="1">
        <v>0</v>
      </c>
      <c r="G35" s="1">
        <f>K35</f>
        <v>0</v>
      </c>
      <c r="H35" s="1">
        <v>0</v>
      </c>
      <c r="I35" s="1">
        <v>5886</v>
      </c>
      <c r="J35" s="1">
        <v>0</v>
      </c>
      <c r="K35" s="1">
        <v>0</v>
      </c>
    </row>
    <row r="36" spans="1:11" x14ac:dyDescent="0.4">
      <c r="A36" s="2" t="s">
        <v>26</v>
      </c>
      <c r="B36" s="3">
        <v>493</v>
      </c>
      <c r="C36" s="3">
        <f>I36</f>
        <v>1119</v>
      </c>
      <c r="D36" s="3">
        <v>2977</v>
      </c>
      <c r="E36" s="3">
        <f>J36</f>
        <v>3621</v>
      </c>
      <c r="F36" s="3">
        <v>1767</v>
      </c>
      <c r="G36" s="3">
        <f>K36</f>
        <v>2434</v>
      </c>
      <c r="H36" s="3">
        <v>2715</v>
      </c>
      <c r="I36" s="3">
        <v>1119</v>
      </c>
      <c r="J36" s="3">
        <v>3621</v>
      </c>
      <c r="K36" s="3">
        <v>2434</v>
      </c>
    </row>
    <row r="37" spans="1:11" x14ac:dyDescent="0.4">
      <c r="A37" t="s">
        <v>15</v>
      </c>
      <c r="B37" s="1">
        <f t="shared" ref="B37:G37" si="34">B34-B35-B36</f>
        <v>6021</v>
      </c>
      <c r="C37" s="1">
        <f t="shared" si="34"/>
        <v>8477</v>
      </c>
      <c r="D37" s="1">
        <f t="shared" si="34"/>
        <v>7554</v>
      </c>
      <c r="E37" s="1">
        <f t="shared" si="34"/>
        <v>9933</v>
      </c>
      <c r="F37" s="1">
        <f t="shared" si="34"/>
        <v>13071</v>
      </c>
      <c r="G37" s="1">
        <f t="shared" si="34"/>
        <v>15538</v>
      </c>
      <c r="H37" s="1">
        <f t="shared" ref="H37:K37" si="35">H34-H35-H36</f>
        <v>15191</v>
      </c>
      <c r="I37" s="1">
        <f>I34-I35-I36</f>
        <v>8477</v>
      </c>
      <c r="J37" s="1">
        <f>J34-J35-J36</f>
        <v>9933</v>
      </c>
      <c r="K37" s="1">
        <f t="shared" si="35"/>
        <v>15538</v>
      </c>
    </row>
    <row r="38" spans="1:11" x14ac:dyDescent="0.4">
      <c r="B38" s="45"/>
      <c r="C38" s="45"/>
      <c r="D38" s="45"/>
      <c r="E38" s="45"/>
      <c r="F38" s="1"/>
      <c r="G38" s="1"/>
      <c r="H38" s="1"/>
      <c r="I38" s="1"/>
      <c r="J38" s="1"/>
      <c r="K38" s="1"/>
    </row>
    <row r="39" spans="1:11" x14ac:dyDescent="0.4">
      <c r="A39" t="s">
        <v>16</v>
      </c>
      <c r="B39" s="1">
        <f>471+2194</f>
        <v>2665</v>
      </c>
      <c r="C39" s="1">
        <f>I39</f>
        <v>5036</v>
      </c>
      <c r="D39" s="1">
        <f>7117+468</f>
        <v>7585</v>
      </c>
      <c r="E39" s="1">
        <f>J39</f>
        <v>4619</v>
      </c>
      <c r="F39" s="1">
        <f>4889+508</f>
        <v>5397</v>
      </c>
      <c r="G39" s="1">
        <f>K39</f>
        <v>5822</v>
      </c>
      <c r="H39" s="1">
        <f>3073+389</f>
        <v>3462</v>
      </c>
      <c r="I39" s="1">
        <f>4564+472</f>
        <v>5036</v>
      </c>
      <c r="J39" s="1">
        <f>4081+538</f>
        <v>4619</v>
      </c>
      <c r="K39" s="1">
        <f>5336+486</f>
        <v>5822</v>
      </c>
    </row>
    <row r="40" spans="1:11" x14ac:dyDescent="0.4">
      <c r="A40" s="2" t="s">
        <v>17</v>
      </c>
      <c r="B40" s="3">
        <f>3965+45834</f>
        <v>49799</v>
      </c>
      <c r="C40" s="3">
        <f>I40</f>
        <v>46823</v>
      </c>
      <c r="D40" s="3">
        <f>53193+5135</f>
        <v>58328</v>
      </c>
      <c r="E40" s="3">
        <f>J40</f>
        <v>56689</v>
      </c>
      <c r="F40" s="3">
        <f>53448+3071</f>
        <v>56519</v>
      </c>
      <c r="G40" s="3">
        <f>K40</f>
        <v>55033</v>
      </c>
      <c r="H40" s="3">
        <f>48734+1931</f>
        <v>50665</v>
      </c>
      <c r="I40" s="3">
        <f>2419+44404</f>
        <v>46823</v>
      </c>
      <c r="J40" s="3">
        <f>54319+2370</f>
        <v>56689</v>
      </c>
      <c r="K40" s="3">
        <f>53505+1528</f>
        <v>55033</v>
      </c>
    </row>
    <row r="41" spans="1:11" x14ac:dyDescent="0.4">
      <c r="A41" t="s">
        <v>18</v>
      </c>
      <c r="B41" s="1">
        <f t="shared" ref="B41:G41" si="36">B40-B39</f>
        <v>47134</v>
      </c>
      <c r="C41" s="1">
        <f t="shared" si="36"/>
        <v>41787</v>
      </c>
      <c r="D41" s="1">
        <f t="shared" si="36"/>
        <v>50743</v>
      </c>
      <c r="E41" s="1">
        <f t="shared" si="36"/>
        <v>52070</v>
      </c>
      <c r="F41" s="1">
        <f t="shared" si="36"/>
        <v>51122</v>
      </c>
      <c r="G41" s="1">
        <f t="shared" si="36"/>
        <v>49211</v>
      </c>
      <c r="H41" s="1">
        <f t="shared" ref="H41:K41" si="37">H40-H39</f>
        <v>47203</v>
      </c>
      <c r="I41" s="1">
        <f>I40-I39</f>
        <v>41787</v>
      </c>
      <c r="J41" s="1">
        <f>J40-J39</f>
        <v>52070</v>
      </c>
      <c r="K41" s="1">
        <f t="shared" si="37"/>
        <v>49211</v>
      </c>
    </row>
    <row r="43" spans="1:11" x14ac:dyDescent="0.4">
      <c r="A43" t="s">
        <v>58</v>
      </c>
      <c r="B43" s="5">
        <f t="shared" ref="B43:G43" si="38">B41/B34</f>
        <v>3.8008225143133618</v>
      </c>
      <c r="C43" s="5">
        <f t="shared" si="38"/>
        <v>2.6990698876114196</v>
      </c>
      <c r="D43" s="5">
        <f t="shared" si="38"/>
        <v>3.0910696881091617</v>
      </c>
      <c r="E43" s="5">
        <f t="shared" si="38"/>
        <v>3.8416703556145788</v>
      </c>
      <c r="F43" s="5">
        <f t="shared" si="38"/>
        <v>3.4453430381453027</v>
      </c>
      <c r="G43" s="5">
        <f t="shared" si="38"/>
        <v>2.7382038726908524</v>
      </c>
      <c r="H43" s="5">
        <f t="shared" ref="H43:K43" si="39">H41/H34</f>
        <v>2.6361554786105215</v>
      </c>
      <c r="I43" s="5">
        <f>I41/I34</f>
        <v>2.6990698876114196</v>
      </c>
      <c r="J43" s="5">
        <f>J41/J34</f>
        <v>3.8416703556145788</v>
      </c>
      <c r="K43" s="5">
        <f t="shared" si="39"/>
        <v>2.7382038726908524</v>
      </c>
    </row>
    <row r="44" spans="1:11" x14ac:dyDescent="0.4">
      <c r="A44" t="s">
        <v>57</v>
      </c>
      <c r="B44" s="24">
        <f t="shared" ref="B44:G44" si="40">B41/B26</f>
        <v>0.50543676410663352</v>
      </c>
      <c r="C44" s="24">
        <f t="shared" si="40"/>
        <v>0.44349044288549505</v>
      </c>
      <c r="D44" s="24">
        <f t="shared" si="40"/>
        <v>0.49586155003762228</v>
      </c>
      <c r="E44" s="24">
        <f t="shared" si="40"/>
        <v>0.53220086059751226</v>
      </c>
      <c r="F44" s="24">
        <f t="shared" si="40"/>
        <v>0.52404334054308943</v>
      </c>
      <c r="G44" s="24">
        <f t="shared" si="40"/>
        <v>0.49760857475099851</v>
      </c>
      <c r="H44" s="24">
        <f t="shared" ref="H44:K44" si="41">H41/H26</f>
        <v>0.50818207264819237</v>
      </c>
      <c r="I44" s="24">
        <f>I41/I26</f>
        <v>0.44349044288549505</v>
      </c>
      <c r="J44" s="24">
        <f>J41/J26</f>
        <v>0.53220086059751226</v>
      </c>
      <c r="K44" s="24">
        <f t="shared" si="41"/>
        <v>0.49760857475099851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44B3-C6CB-415E-B83F-A7E05665F3AF}">
  <dimension ref="A1:AI41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B14" sqref="B14"/>
    </sheetView>
  </sheetViews>
  <sheetFormatPr defaultRowHeight="17" x14ac:dyDescent="0.4"/>
  <cols>
    <col min="1" max="1" width="16.08984375" bestFit="1" customWidth="1"/>
    <col min="2" max="2" width="8.1796875" bestFit="1" customWidth="1"/>
    <col min="3" max="3" width="8.54296875" bestFit="1" customWidth="1"/>
    <col min="4" max="4" width="8.54296875" customWidth="1"/>
    <col min="5" max="6" width="8.54296875" hidden="1" customWidth="1"/>
    <col min="7" max="8" width="7.54296875" hidden="1" customWidth="1"/>
    <col min="9" max="10" width="8.54296875" bestFit="1" customWidth="1"/>
    <col min="11" max="11" width="8.26953125" hidden="1" customWidth="1"/>
    <col min="12" max="12" width="4.08984375" customWidth="1"/>
    <col min="13" max="13" width="35.7265625" bestFit="1" customWidth="1"/>
    <col min="14" max="15" width="7.54296875" customWidth="1"/>
    <col min="16" max="16" width="7.54296875" bestFit="1" customWidth="1"/>
    <col min="17" max="20" width="7.54296875" hidden="1" customWidth="1"/>
    <col min="21" max="22" width="8.26953125" customWidth="1"/>
    <col min="23" max="23" width="8.26953125" hidden="1" customWidth="1"/>
    <col min="24" max="24" width="4" customWidth="1"/>
    <col min="25" max="25" width="20.7265625" bestFit="1" customWidth="1"/>
    <col min="26" max="26" width="8.1796875" bestFit="1" customWidth="1"/>
    <col min="27" max="27" width="7.26953125" customWidth="1"/>
    <col min="28" max="28" width="6.54296875" customWidth="1"/>
    <col min="29" max="32" width="6.54296875" hidden="1" customWidth="1"/>
    <col min="33" max="34" width="7.54296875" customWidth="1"/>
    <col min="35" max="35" width="7.54296875" hidden="1" customWidth="1"/>
  </cols>
  <sheetData>
    <row r="1" spans="1:35" x14ac:dyDescent="0.4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M1" s="48" t="s">
        <v>74</v>
      </c>
      <c r="N1" s="48"/>
      <c r="O1" s="48"/>
      <c r="P1" s="48"/>
      <c r="Q1" s="48"/>
      <c r="R1" s="48"/>
      <c r="S1" s="48"/>
      <c r="T1" s="48"/>
      <c r="U1" s="48"/>
      <c r="V1" s="48"/>
      <c r="W1" s="48"/>
      <c r="Y1" s="48" t="s">
        <v>75</v>
      </c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x14ac:dyDescent="0.4">
      <c r="B2" t="s">
        <v>84</v>
      </c>
      <c r="C2" t="s">
        <v>85</v>
      </c>
      <c r="D2" t="s">
        <v>23</v>
      </c>
      <c r="E2" t="s">
        <v>45</v>
      </c>
      <c r="F2" t="s">
        <v>24</v>
      </c>
      <c r="G2" t="s">
        <v>47</v>
      </c>
      <c r="H2" t="s">
        <v>46</v>
      </c>
      <c r="I2" t="s">
        <v>83</v>
      </c>
      <c r="J2" t="s">
        <v>49</v>
      </c>
      <c r="K2" t="s">
        <v>48</v>
      </c>
      <c r="M2" s="7" t="s">
        <v>0</v>
      </c>
      <c r="N2" t="s">
        <v>84</v>
      </c>
      <c r="O2" t="s">
        <v>85</v>
      </c>
      <c r="P2" t="s">
        <v>23</v>
      </c>
      <c r="Q2" t="s">
        <v>45</v>
      </c>
      <c r="R2" t="s">
        <v>24</v>
      </c>
      <c r="S2" t="s">
        <v>47</v>
      </c>
      <c r="T2" t="s">
        <v>46</v>
      </c>
      <c r="U2" t="s">
        <v>83</v>
      </c>
      <c r="V2" t="s">
        <v>49</v>
      </c>
      <c r="W2" t="s">
        <v>48</v>
      </c>
      <c r="Z2" t="s">
        <v>84</v>
      </c>
      <c r="AA2" t="s">
        <v>85</v>
      </c>
      <c r="AB2" t="s">
        <v>23</v>
      </c>
      <c r="AC2" t="s">
        <v>45</v>
      </c>
      <c r="AD2" t="s">
        <v>24</v>
      </c>
      <c r="AE2" t="s">
        <v>47</v>
      </c>
      <c r="AF2" t="s">
        <v>46</v>
      </c>
      <c r="AG2" t="s">
        <v>83</v>
      </c>
      <c r="AH2" t="s">
        <v>49</v>
      </c>
      <c r="AI2" t="s">
        <v>48</v>
      </c>
    </row>
    <row r="3" spans="1:35" x14ac:dyDescent="0.4">
      <c r="A3" s="16" t="s">
        <v>0</v>
      </c>
      <c r="B3" s="17">
        <v>16157</v>
      </c>
      <c r="C3" s="17">
        <f t="shared" ref="C3:C10" si="0">I3-D3</f>
        <v>18318</v>
      </c>
      <c r="D3" s="17">
        <v>15643</v>
      </c>
      <c r="E3" s="17">
        <f t="shared" ref="E3:E10" si="1">J3-F3</f>
        <v>17783</v>
      </c>
      <c r="F3" s="17">
        <v>14606</v>
      </c>
      <c r="G3" s="17">
        <f t="shared" ref="G3:G10" si="2">K3-H3</f>
        <v>17994</v>
      </c>
      <c r="H3" s="17">
        <v>15109</v>
      </c>
      <c r="I3" s="17">
        <v>33961</v>
      </c>
      <c r="J3" s="17">
        <v>32389</v>
      </c>
      <c r="K3" s="17">
        <v>33103</v>
      </c>
      <c r="M3" s="41" t="s">
        <v>29</v>
      </c>
      <c r="N3" s="22">
        <v>7968</v>
      </c>
      <c r="O3" s="22">
        <f>SUM(O4:O6)</f>
        <v>7880</v>
      </c>
      <c r="P3" s="22">
        <v>7713</v>
      </c>
      <c r="Q3" s="22">
        <f>SUM(Q4:Q6)</f>
        <v>8091</v>
      </c>
      <c r="R3" s="22">
        <f>SUM(R4:R6)</f>
        <v>6622</v>
      </c>
      <c r="S3" s="22">
        <f>SUM(S4:S6)</f>
        <v>7838</v>
      </c>
      <c r="T3" s="22">
        <f t="shared" ref="T3:W3" si="3">SUM(T4:T6)</f>
        <v>6769</v>
      </c>
      <c r="U3" s="22">
        <f>SUM(U4:U6)</f>
        <v>14806</v>
      </c>
      <c r="V3" s="22">
        <f>SUM(V4:V6)</f>
        <v>14713</v>
      </c>
      <c r="W3" s="22">
        <f t="shared" si="3"/>
        <v>14607</v>
      </c>
      <c r="Y3" s="7" t="s">
        <v>27</v>
      </c>
      <c r="Z3" t="s">
        <v>84</v>
      </c>
      <c r="AA3" t="s">
        <v>45</v>
      </c>
      <c r="AB3" t="s">
        <v>23</v>
      </c>
      <c r="AC3" t="s">
        <v>45</v>
      </c>
      <c r="AD3" t="s">
        <v>24</v>
      </c>
      <c r="AE3" t="s">
        <v>47</v>
      </c>
      <c r="AF3" t="s">
        <v>46</v>
      </c>
      <c r="AG3" t="s">
        <v>83</v>
      </c>
      <c r="AH3" t="s">
        <v>49</v>
      </c>
      <c r="AI3" t="s">
        <v>48</v>
      </c>
    </row>
    <row r="4" spans="1:35" x14ac:dyDescent="0.4">
      <c r="A4" t="s">
        <v>1</v>
      </c>
      <c r="B4" s="1">
        <v>-8134</v>
      </c>
      <c r="C4" s="1">
        <f t="shared" si="0"/>
        <v>-9179</v>
      </c>
      <c r="D4" s="1">
        <v>-7550</v>
      </c>
      <c r="E4" s="1">
        <f t="shared" si="1"/>
        <v>-8762</v>
      </c>
      <c r="F4" s="1">
        <v>-6941</v>
      </c>
      <c r="G4" s="1">
        <f t="shared" si="2"/>
        <v>-8837</v>
      </c>
      <c r="H4" s="1">
        <v>-6950</v>
      </c>
      <c r="I4" s="1">
        <v>-16729</v>
      </c>
      <c r="J4" s="1">
        <v>-15703</v>
      </c>
      <c r="K4" s="1">
        <v>-15787</v>
      </c>
      <c r="M4" s="29" t="s">
        <v>77</v>
      </c>
      <c r="N4" s="9"/>
      <c r="O4" s="9">
        <f>U4-P4</f>
        <v>4683</v>
      </c>
      <c r="P4" s="9">
        <v>3877</v>
      </c>
      <c r="Q4" s="9">
        <f>V4-R4</f>
        <v>4521</v>
      </c>
      <c r="R4" s="9">
        <v>3696</v>
      </c>
      <c r="S4" s="9">
        <f>W4-T4</f>
        <v>4168</v>
      </c>
      <c r="T4" s="9">
        <v>3619</v>
      </c>
      <c r="U4" s="9">
        <v>8560</v>
      </c>
      <c r="V4" s="9">
        <v>8217</v>
      </c>
      <c r="W4" s="9">
        <v>7787</v>
      </c>
      <c r="Y4" t="s">
        <v>31</v>
      </c>
      <c r="Z4" s="1">
        <v>4104</v>
      </c>
      <c r="AA4" s="1">
        <f>AG4-AB4</f>
        <v>4432</v>
      </c>
      <c r="AB4" s="1">
        <v>4036</v>
      </c>
      <c r="AC4" s="1">
        <f t="shared" ref="AC4:AC9" si="4">AH4-AD4</f>
        <v>4611</v>
      </c>
      <c r="AD4" s="1">
        <v>3801</v>
      </c>
      <c r="AE4" s="1">
        <f>AI4-AF4</f>
        <v>4532</v>
      </c>
      <c r="AF4" s="1">
        <v>3828</v>
      </c>
      <c r="AG4" s="1">
        <v>8468</v>
      </c>
      <c r="AH4" s="1">
        <v>8412</v>
      </c>
      <c r="AI4" s="1">
        <v>8360</v>
      </c>
    </row>
    <row r="5" spans="1:35" x14ac:dyDescent="0.4">
      <c r="A5" t="s">
        <v>2</v>
      </c>
      <c r="B5" s="1">
        <v>-5014</v>
      </c>
      <c r="C5" s="1">
        <f t="shared" si="0"/>
        <v>-5000</v>
      </c>
      <c r="D5" s="1">
        <v>-5127</v>
      </c>
      <c r="E5" s="1">
        <f t="shared" si="1"/>
        <v>-4890</v>
      </c>
      <c r="F5" s="1">
        <v>-4608</v>
      </c>
      <c r="G5" s="1">
        <f t="shared" si="2"/>
        <v>-4826</v>
      </c>
      <c r="H5" s="1">
        <v>-4796</v>
      </c>
      <c r="I5" s="1">
        <v>-10127</v>
      </c>
      <c r="J5" s="1">
        <v>-9498</v>
      </c>
      <c r="K5" s="1">
        <v>-9622</v>
      </c>
      <c r="M5" s="29" t="s">
        <v>78</v>
      </c>
      <c r="N5" s="9"/>
      <c r="O5" s="9">
        <f>U5-P5</f>
        <v>1377</v>
      </c>
      <c r="P5" s="9">
        <v>1449</v>
      </c>
      <c r="Q5" s="9">
        <f>V5-R5</f>
        <v>1552</v>
      </c>
      <c r="R5" s="9">
        <v>1532</v>
      </c>
      <c r="S5" s="9">
        <f>W5-T5</f>
        <v>1648</v>
      </c>
      <c r="T5" s="9">
        <v>1612</v>
      </c>
      <c r="U5" s="9">
        <v>2826</v>
      </c>
      <c r="V5" s="9">
        <v>3084</v>
      </c>
      <c r="W5" s="9">
        <v>3260</v>
      </c>
      <c r="Y5" s="41" t="s">
        <v>37</v>
      </c>
      <c r="Z5" s="22">
        <v>2107</v>
      </c>
      <c r="AA5" s="22">
        <f>AG5-AB5</f>
        <v>2643</v>
      </c>
      <c r="AB5" s="22">
        <v>2058</v>
      </c>
      <c r="AC5" s="22">
        <f t="shared" si="4"/>
        <v>2639</v>
      </c>
      <c r="AD5" s="22">
        <v>2057</v>
      </c>
      <c r="AE5" s="22">
        <f>AI5-AF5</f>
        <v>2879</v>
      </c>
      <c r="AF5" s="22">
        <v>2222</v>
      </c>
      <c r="AG5" s="22">
        <v>4701</v>
      </c>
      <c r="AH5" s="22">
        <v>4696</v>
      </c>
      <c r="AI5" s="22">
        <v>5101</v>
      </c>
    </row>
    <row r="6" spans="1:35" x14ac:dyDescent="0.4">
      <c r="A6" s="37" t="s">
        <v>68</v>
      </c>
      <c r="B6" s="38">
        <v>-2825</v>
      </c>
      <c r="C6" s="38">
        <f t="shared" si="0"/>
        <v>-2901</v>
      </c>
      <c r="D6" s="38">
        <v>-2751</v>
      </c>
      <c r="E6" s="38">
        <f t="shared" si="1"/>
        <v>-2850</v>
      </c>
      <c r="F6" s="38">
        <v>-2491</v>
      </c>
      <c r="G6" s="38">
        <f t="shared" si="2"/>
        <v>-2750</v>
      </c>
      <c r="H6" s="38">
        <v>-2371</v>
      </c>
      <c r="I6" s="38">
        <v>-5652</v>
      </c>
      <c r="J6" s="38">
        <v>-5341</v>
      </c>
      <c r="K6" s="38">
        <v>-5121</v>
      </c>
      <c r="M6" s="29" t="s">
        <v>79</v>
      </c>
      <c r="N6" s="9"/>
      <c r="O6" s="9">
        <f>U6-P6</f>
        <v>1820</v>
      </c>
      <c r="P6" s="9">
        <v>1600</v>
      </c>
      <c r="Q6" s="9">
        <f>V6-R6</f>
        <v>2018</v>
      </c>
      <c r="R6" s="9">
        <v>1394</v>
      </c>
      <c r="S6" s="9">
        <f>W6-T6</f>
        <v>2022</v>
      </c>
      <c r="T6" s="9">
        <v>1538</v>
      </c>
      <c r="U6" s="9">
        <v>3420</v>
      </c>
      <c r="V6" s="9">
        <v>3412</v>
      </c>
      <c r="W6" s="9">
        <v>3560</v>
      </c>
      <c r="Y6" s="44" t="s">
        <v>36</v>
      </c>
      <c r="Z6" s="22">
        <v>15</v>
      </c>
      <c r="AA6" s="22">
        <f>AG6-AB6</f>
        <v>65</v>
      </c>
      <c r="AB6" s="22">
        <v>14</v>
      </c>
      <c r="AC6" s="22">
        <f t="shared" si="4"/>
        <v>58</v>
      </c>
      <c r="AD6" s="22">
        <v>-7</v>
      </c>
      <c r="AE6" s="22">
        <f>AI6-AF6</f>
        <v>-17</v>
      </c>
      <c r="AF6" s="22">
        <v>-16</v>
      </c>
      <c r="AG6" s="22">
        <v>79</v>
      </c>
      <c r="AH6" s="22">
        <v>51</v>
      </c>
      <c r="AI6" s="22">
        <v>-33</v>
      </c>
    </row>
    <row r="7" spans="1:35" x14ac:dyDescent="0.4">
      <c r="A7" t="s">
        <v>3</v>
      </c>
      <c r="B7" s="1">
        <v>3</v>
      </c>
      <c r="C7" s="1">
        <f t="shared" si="0"/>
        <v>-8</v>
      </c>
      <c r="D7" s="1">
        <v>0</v>
      </c>
      <c r="E7" s="1">
        <f t="shared" si="1"/>
        <v>411</v>
      </c>
      <c r="F7" s="1">
        <v>-50</v>
      </c>
      <c r="G7" s="1">
        <f t="shared" si="2"/>
        <v>2</v>
      </c>
      <c r="H7" s="1">
        <v>1</v>
      </c>
      <c r="I7" s="1">
        <v>-8</v>
      </c>
      <c r="J7" s="1">
        <v>361</v>
      </c>
      <c r="K7" s="1">
        <v>3</v>
      </c>
      <c r="M7" s="42" t="s">
        <v>30</v>
      </c>
      <c r="N7" s="43">
        <v>3628</v>
      </c>
      <c r="O7" s="43">
        <f>U7-P7</f>
        <v>3689</v>
      </c>
      <c r="P7" s="43">
        <v>3317</v>
      </c>
      <c r="Q7" s="11">
        <f>V7-R7</f>
        <v>3880</v>
      </c>
      <c r="R7" s="43">
        <v>3764</v>
      </c>
      <c r="S7" s="11">
        <f>W7-T7</f>
        <v>3906</v>
      </c>
      <c r="T7" s="43">
        <v>3440</v>
      </c>
      <c r="U7" s="43">
        <v>7006</v>
      </c>
      <c r="V7" s="43">
        <v>7644</v>
      </c>
      <c r="W7" s="43">
        <v>7346</v>
      </c>
      <c r="Y7" t="s">
        <v>32</v>
      </c>
      <c r="Z7" s="1">
        <f>Z5+Z6</f>
        <v>2122</v>
      </c>
      <c r="AA7" s="1">
        <f>AA5+AA6</f>
        <v>2708</v>
      </c>
      <c r="AB7" s="1">
        <f>AB5+AB6</f>
        <v>2072</v>
      </c>
      <c r="AC7" s="1">
        <f t="shared" si="4"/>
        <v>2697</v>
      </c>
      <c r="AD7" s="1">
        <f t="shared" ref="AD7:AI7" si="5">AD5+AD6</f>
        <v>2050</v>
      </c>
      <c r="AE7" s="1">
        <f t="shared" si="5"/>
        <v>2862</v>
      </c>
      <c r="AF7" s="1">
        <f t="shared" si="5"/>
        <v>2206</v>
      </c>
      <c r="AG7" s="1">
        <f t="shared" si="5"/>
        <v>4780</v>
      </c>
      <c r="AH7" s="1">
        <f t="shared" si="5"/>
        <v>4747</v>
      </c>
      <c r="AI7" s="1">
        <f t="shared" si="5"/>
        <v>5068</v>
      </c>
    </row>
    <row r="8" spans="1:35" x14ac:dyDescent="0.4">
      <c r="A8" s="20" t="s">
        <v>4</v>
      </c>
      <c r="B8" s="21">
        <v>-627</v>
      </c>
      <c r="C8" s="21">
        <f t="shared" si="0"/>
        <v>-587</v>
      </c>
      <c r="D8" s="21">
        <v>-561</v>
      </c>
      <c r="E8" s="21">
        <f t="shared" si="1"/>
        <v>-638</v>
      </c>
      <c r="F8" s="21">
        <v>-658</v>
      </c>
      <c r="G8" s="21">
        <f t="shared" si="2"/>
        <v>-710</v>
      </c>
      <c r="H8" s="21">
        <v>-662</v>
      </c>
      <c r="I8" s="21">
        <v>-1148</v>
      </c>
      <c r="J8" s="21">
        <v>-1296</v>
      </c>
      <c r="K8" s="21">
        <v>-1372</v>
      </c>
      <c r="M8" t="s">
        <v>31</v>
      </c>
      <c r="N8" s="1">
        <f>N3+N7</f>
        <v>11596</v>
      </c>
      <c r="O8" s="1">
        <f>O3+O7</f>
        <v>11569</v>
      </c>
      <c r="P8" s="1">
        <f>P3+P7</f>
        <v>11030</v>
      </c>
      <c r="Q8" s="1">
        <f>V8-R8</f>
        <v>11971</v>
      </c>
      <c r="R8" s="1">
        <f>R3+R7</f>
        <v>10386</v>
      </c>
      <c r="S8" s="1">
        <f>W8-T8</f>
        <v>11744</v>
      </c>
      <c r="T8" s="1">
        <v>10209</v>
      </c>
      <c r="U8" s="1">
        <f>U3+U7</f>
        <v>21812</v>
      </c>
      <c r="V8" s="1">
        <f>V3+V7</f>
        <v>22357</v>
      </c>
      <c r="W8" s="1">
        <f>W3+W7</f>
        <v>21953</v>
      </c>
      <c r="Y8" t="s">
        <v>33</v>
      </c>
      <c r="Z8" s="1"/>
      <c r="AA8" s="1">
        <f>AG8-AB8</f>
        <v>481</v>
      </c>
      <c r="AB8" s="1"/>
      <c r="AC8" s="1">
        <f t="shared" si="4"/>
        <v>174</v>
      </c>
      <c r="AD8" s="1">
        <v>0</v>
      </c>
      <c r="AE8" s="1">
        <f>AI8-AF8</f>
        <v>0</v>
      </c>
      <c r="AF8" s="1">
        <v>0</v>
      </c>
      <c r="AG8" s="1">
        <v>481</v>
      </c>
      <c r="AH8" s="1">
        <v>174</v>
      </c>
      <c r="AI8" s="1">
        <v>0</v>
      </c>
    </row>
    <row r="9" spans="1:35" x14ac:dyDescent="0.4">
      <c r="A9" t="s">
        <v>5</v>
      </c>
      <c r="B9" s="1">
        <v>-53</v>
      </c>
      <c r="C9" s="1">
        <f t="shared" si="0"/>
        <v>-60</v>
      </c>
      <c r="D9" s="1">
        <v>-55</v>
      </c>
      <c r="E9" s="1">
        <f t="shared" si="1"/>
        <v>-42</v>
      </c>
      <c r="F9" s="1">
        <v>-26</v>
      </c>
      <c r="G9" s="1">
        <f t="shared" si="2"/>
        <v>-21</v>
      </c>
      <c r="H9" s="1">
        <v>-12</v>
      </c>
      <c r="I9" s="1">
        <v>-115</v>
      </c>
      <c r="J9" s="1">
        <v>-68</v>
      </c>
      <c r="K9" s="1">
        <v>-33</v>
      </c>
      <c r="Y9" s="2" t="s">
        <v>3</v>
      </c>
      <c r="Z9" s="3">
        <v>-392</v>
      </c>
      <c r="AA9" s="3">
        <f>AG9-AB9</f>
        <v>-603</v>
      </c>
      <c r="AB9" s="3">
        <v>-393</v>
      </c>
      <c r="AC9" s="3">
        <f t="shared" si="4"/>
        <v>-501</v>
      </c>
      <c r="AD9" s="3">
        <v>-305</v>
      </c>
      <c r="AE9" s="3">
        <f>AI9-AF9</f>
        <v>-310</v>
      </c>
      <c r="AF9" s="3">
        <v>-301</v>
      </c>
      <c r="AG9" s="3">
        <v>-996</v>
      </c>
      <c r="AH9" s="3">
        <v>-806</v>
      </c>
      <c r="AI9" s="3">
        <v>-611</v>
      </c>
    </row>
    <row r="10" spans="1:35" x14ac:dyDescent="0.4">
      <c r="A10" s="2" t="s">
        <v>6</v>
      </c>
      <c r="B10" s="3">
        <v>15</v>
      </c>
      <c r="C10" s="3">
        <f t="shared" si="0"/>
        <v>-7</v>
      </c>
      <c r="D10" s="3">
        <v>-8</v>
      </c>
      <c r="E10" s="3">
        <f t="shared" si="1"/>
        <v>-7</v>
      </c>
      <c r="F10" s="3">
        <v>-4</v>
      </c>
      <c r="G10" s="3">
        <f t="shared" si="2"/>
        <v>-7</v>
      </c>
      <c r="H10" s="3">
        <v>-11</v>
      </c>
      <c r="I10" s="3">
        <v>-15</v>
      </c>
      <c r="J10" s="3">
        <v>-11</v>
      </c>
      <c r="K10" s="3">
        <v>-18</v>
      </c>
      <c r="M10" s="8" t="s">
        <v>37</v>
      </c>
      <c r="N10" s="9">
        <v>3647</v>
      </c>
      <c r="O10" s="9">
        <f>U10-P10</f>
        <v>4241</v>
      </c>
      <c r="P10" s="9">
        <v>3577</v>
      </c>
      <c r="Q10" s="9">
        <f>V10-R10</f>
        <v>4184</v>
      </c>
      <c r="R10" s="9">
        <v>3573</v>
      </c>
      <c r="S10" s="9">
        <f>W10-T10</f>
        <v>4533</v>
      </c>
      <c r="T10" s="9">
        <v>3881</v>
      </c>
      <c r="U10" s="9">
        <v>7818</v>
      </c>
      <c r="V10" s="9">
        <v>7757</v>
      </c>
      <c r="W10" s="9">
        <v>8414</v>
      </c>
      <c r="Y10" s="14" t="s">
        <v>27</v>
      </c>
      <c r="Z10" s="15">
        <f t="shared" ref="Z10:AE10" si="6">Z4+Z7+Z8+Z9</f>
        <v>5834</v>
      </c>
      <c r="AA10" s="15">
        <f t="shared" si="6"/>
        <v>7018</v>
      </c>
      <c r="AB10" s="15">
        <f t="shared" si="6"/>
        <v>5715</v>
      </c>
      <c r="AC10" s="15">
        <f t="shared" si="6"/>
        <v>6981</v>
      </c>
      <c r="AD10" s="15">
        <f t="shared" si="6"/>
        <v>5546</v>
      </c>
      <c r="AE10" s="15">
        <f t="shared" si="6"/>
        <v>7084</v>
      </c>
      <c r="AF10" s="15">
        <f t="shared" ref="AF10:AI10" si="7">AF4+AF7+AF8+AF9</f>
        <v>5733</v>
      </c>
      <c r="AG10" s="15">
        <f>AG4+AG7+AG8+AG9</f>
        <v>12733</v>
      </c>
      <c r="AH10" s="15">
        <f>AH4+AH7+AH8+AH9</f>
        <v>12527</v>
      </c>
      <c r="AI10" s="15">
        <f t="shared" si="7"/>
        <v>12817</v>
      </c>
    </row>
    <row r="11" spans="1:35" x14ac:dyDescent="0.4">
      <c r="A11" s="18" t="s">
        <v>7</v>
      </c>
      <c r="B11" s="19">
        <f t="shared" ref="B11:G11" si="8">SUM(B3:B5)+SUM(B7:B10)</f>
        <v>2347</v>
      </c>
      <c r="C11" s="19">
        <f t="shared" si="8"/>
        <v>3477</v>
      </c>
      <c r="D11" s="19">
        <f t="shared" si="8"/>
        <v>2342</v>
      </c>
      <c r="E11" s="19">
        <f t="shared" si="8"/>
        <v>3855</v>
      </c>
      <c r="F11" s="19">
        <f t="shared" si="8"/>
        <v>2319</v>
      </c>
      <c r="G11" s="19">
        <f t="shared" si="8"/>
        <v>3595</v>
      </c>
      <c r="H11" s="19">
        <f t="shared" ref="H11:K11" si="9">SUM(H3:H5)+SUM(H7:H10)</f>
        <v>2679</v>
      </c>
      <c r="I11" s="19">
        <f>SUM(I3:I5)+SUM(I7:I10)</f>
        <v>5819</v>
      </c>
      <c r="J11" s="19">
        <f>SUM(J3:J5)+SUM(J7:J10)</f>
        <v>6174</v>
      </c>
      <c r="K11" s="19">
        <f t="shared" si="9"/>
        <v>6274</v>
      </c>
      <c r="M11" s="10" t="s">
        <v>36</v>
      </c>
      <c r="N11" s="11">
        <v>1289</v>
      </c>
      <c r="O11" s="11">
        <f>U11-P11</f>
        <v>2399</v>
      </c>
      <c r="P11" s="11">
        <v>1531</v>
      </c>
      <c r="Q11" s="11">
        <f>V11-R11</f>
        <v>1639</v>
      </c>
      <c r="R11" s="11">
        <v>970</v>
      </c>
      <c r="S11" s="11">
        <f>W11-T11</f>
        <v>2059</v>
      </c>
      <c r="T11" s="11">
        <v>1341</v>
      </c>
      <c r="U11" s="11">
        <v>3930</v>
      </c>
      <c r="V11" s="11">
        <v>2609</v>
      </c>
      <c r="W11" s="11">
        <v>3400</v>
      </c>
      <c r="Y11" s="48" t="s">
        <v>75</v>
      </c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x14ac:dyDescent="0.4">
      <c r="A12" t="s">
        <v>8</v>
      </c>
      <c r="B12" s="1">
        <v>-435</v>
      </c>
      <c r="C12" s="1">
        <f>I12-D12</f>
        <v>-563</v>
      </c>
      <c r="D12" s="1">
        <v>-434</v>
      </c>
      <c r="E12" s="1">
        <f>J12-F12</f>
        <v>-441</v>
      </c>
      <c r="F12" s="1">
        <v>-414</v>
      </c>
      <c r="G12" s="1">
        <f>K12-H12</f>
        <v>-528</v>
      </c>
      <c r="H12" s="1">
        <v>-509</v>
      </c>
      <c r="I12" s="1">
        <v>-997</v>
      </c>
      <c r="J12" s="1">
        <v>-855</v>
      </c>
      <c r="K12" s="1">
        <v>-1037</v>
      </c>
      <c r="M12" t="s">
        <v>32</v>
      </c>
      <c r="N12" s="1">
        <f t="shared" ref="N12:S12" si="10">N10+N11</f>
        <v>4936</v>
      </c>
      <c r="O12" s="1">
        <f t="shared" si="10"/>
        <v>6640</v>
      </c>
      <c r="P12" s="1">
        <f t="shared" si="10"/>
        <v>5108</v>
      </c>
      <c r="Q12" s="1">
        <f t="shared" si="10"/>
        <v>5823</v>
      </c>
      <c r="R12" s="1">
        <f t="shared" si="10"/>
        <v>4543</v>
      </c>
      <c r="S12" s="1">
        <f t="shared" si="10"/>
        <v>6592</v>
      </c>
      <c r="T12" s="1">
        <f t="shared" ref="T12:W12" si="11">T10+T11</f>
        <v>5222</v>
      </c>
      <c r="U12" s="1">
        <f>U10+U11</f>
        <v>11748</v>
      </c>
      <c r="V12" s="1">
        <f>V10+V11</f>
        <v>10366</v>
      </c>
      <c r="W12" s="1">
        <f t="shared" si="11"/>
        <v>11814</v>
      </c>
      <c r="Y12" s="7" t="s">
        <v>43</v>
      </c>
      <c r="Z12" t="s">
        <v>84</v>
      </c>
      <c r="AA12" t="s">
        <v>85</v>
      </c>
      <c r="AB12" t="s">
        <v>23</v>
      </c>
      <c r="AC12" t="s">
        <v>45</v>
      </c>
      <c r="AD12" t="s">
        <v>24</v>
      </c>
      <c r="AE12" t="s">
        <v>47</v>
      </c>
      <c r="AF12" t="s">
        <v>46</v>
      </c>
      <c r="AG12" t="s">
        <v>83</v>
      </c>
      <c r="AH12" t="s">
        <v>49</v>
      </c>
      <c r="AI12" t="s">
        <v>48</v>
      </c>
    </row>
    <row r="13" spans="1:35" x14ac:dyDescent="0.4">
      <c r="A13" s="2" t="s">
        <v>10</v>
      </c>
      <c r="B13" s="3">
        <v>-2</v>
      </c>
      <c r="C13" s="3">
        <f>I13-D13</f>
        <v>-6</v>
      </c>
      <c r="D13" s="3">
        <v>-8</v>
      </c>
      <c r="E13" s="3">
        <f>J13-F13</f>
        <v>-9</v>
      </c>
      <c r="F13" s="3">
        <v>-7</v>
      </c>
      <c r="G13" s="3">
        <f>K13-H13</f>
        <v>-12</v>
      </c>
      <c r="H13" s="3">
        <v>-8</v>
      </c>
      <c r="I13" s="3">
        <v>-14</v>
      </c>
      <c r="J13" s="3">
        <v>-16</v>
      </c>
      <c r="K13" s="3">
        <v>-20</v>
      </c>
      <c r="N13" s="50">
        <v>1203</v>
      </c>
      <c r="Y13" t="s">
        <v>31</v>
      </c>
      <c r="Z13" s="5">
        <f t="shared" ref="Z13:AI13" si="12">Z4/N8</f>
        <v>0.35391514315281131</v>
      </c>
      <c r="AA13" s="5">
        <f t="shared" si="12"/>
        <v>0.38309274786066211</v>
      </c>
      <c r="AB13" s="5">
        <f t="shared" si="12"/>
        <v>0.36591115140525837</v>
      </c>
      <c r="AC13" s="5">
        <f t="shared" si="12"/>
        <v>0.38518085372984712</v>
      </c>
      <c r="AD13" s="5">
        <f t="shared" si="12"/>
        <v>0.3659734257654535</v>
      </c>
      <c r="AE13" s="5">
        <f t="shared" si="12"/>
        <v>0.3858991825613079</v>
      </c>
      <c r="AF13" s="5">
        <f t="shared" si="12"/>
        <v>0.37496326770496619</v>
      </c>
      <c r="AG13" s="5">
        <f t="shared" si="12"/>
        <v>0.38822666422152946</v>
      </c>
      <c r="AH13" s="5">
        <f t="shared" si="12"/>
        <v>0.37625799525875564</v>
      </c>
      <c r="AI13" s="5">
        <f t="shared" si="12"/>
        <v>0.38081355623377217</v>
      </c>
    </row>
    <row r="14" spans="1:35" x14ac:dyDescent="0.4">
      <c r="A14" t="s">
        <v>9</v>
      </c>
      <c r="B14" s="1">
        <f t="shared" ref="B14:G14" si="13">B11+B12+B13</f>
        <v>1910</v>
      </c>
      <c r="C14" s="1">
        <f t="shared" si="13"/>
        <v>2908</v>
      </c>
      <c r="D14" s="1">
        <f t="shared" si="13"/>
        <v>1900</v>
      </c>
      <c r="E14" s="1">
        <f t="shared" si="13"/>
        <v>3405</v>
      </c>
      <c r="F14" s="1">
        <f t="shared" si="13"/>
        <v>1898</v>
      </c>
      <c r="G14" s="1">
        <f t="shared" si="13"/>
        <v>3055</v>
      </c>
      <c r="H14" s="1">
        <f t="shared" ref="H14:K14" si="14">H11+H12+H13</f>
        <v>2162</v>
      </c>
      <c r="I14" s="1">
        <f>I11+I12+I13</f>
        <v>4808</v>
      </c>
      <c r="J14" s="1">
        <f>J11+J12+J13</f>
        <v>5303</v>
      </c>
      <c r="K14" s="1">
        <f t="shared" si="14"/>
        <v>5217</v>
      </c>
      <c r="M14" t="s">
        <v>82</v>
      </c>
      <c r="N14" s="1"/>
      <c r="O14" s="1">
        <f>U14-P14</f>
        <v>2456</v>
      </c>
      <c r="P14" s="1"/>
      <c r="Q14" s="1">
        <f>V14-R14</f>
        <v>647</v>
      </c>
      <c r="R14" s="1">
        <v>0</v>
      </c>
      <c r="S14" s="1">
        <v>0</v>
      </c>
      <c r="T14" s="1">
        <v>0</v>
      </c>
      <c r="U14" s="1">
        <v>2456</v>
      </c>
      <c r="V14" s="1">
        <v>647</v>
      </c>
      <c r="W14" s="1">
        <v>0</v>
      </c>
      <c r="Y14" s="41" t="s">
        <v>37</v>
      </c>
      <c r="Z14" s="13">
        <f t="shared" ref="Z14:AI16" si="15">Z5/N10</f>
        <v>0.57773512476007682</v>
      </c>
      <c r="AA14" s="13">
        <f t="shared" si="15"/>
        <v>0.6232020749823155</v>
      </c>
      <c r="AB14" s="13">
        <f t="shared" si="15"/>
        <v>0.57534246575342463</v>
      </c>
      <c r="AC14" s="13">
        <f t="shared" si="15"/>
        <v>0.63073613766730396</v>
      </c>
      <c r="AD14" s="13">
        <f t="shared" si="15"/>
        <v>0.57570668905681499</v>
      </c>
      <c r="AE14" s="13">
        <f t="shared" si="15"/>
        <v>0.63512022942863444</v>
      </c>
      <c r="AF14" s="13">
        <f t="shared" si="15"/>
        <v>0.57253285235763973</v>
      </c>
      <c r="AG14" s="13">
        <f t="shared" si="15"/>
        <v>0.60130468150422101</v>
      </c>
      <c r="AH14" s="13">
        <f t="shared" si="15"/>
        <v>0.60538868119118217</v>
      </c>
      <c r="AI14" s="13">
        <f t="shared" si="15"/>
        <v>0.60625148561920605</v>
      </c>
    </row>
    <row r="15" spans="1:35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M15" s="41" t="s">
        <v>56</v>
      </c>
      <c r="N15" s="22"/>
      <c r="O15" s="22">
        <f>U15-P15</f>
        <v>905</v>
      </c>
      <c r="P15" s="22"/>
      <c r="Q15" s="22">
        <v>229</v>
      </c>
      <c r="R15" s="22"/>
      <c r="S15" s="22"/>
      <c r="T15" s="22"/>
      <c r="U15" s="22">
        <v>905</v>
      </c>
      <c r="V15" s="22">
        <v>229</v>
      </c>
      <c r="W15" s="22"/>
      <c r="Y15" s="44" t="s">
        <v>36</v>
      </c>
      <c r="Z15" s="13">
        <f t="shared" si="15"/>
        <v>1.1636927851047323E-2</v>
      </c>
      <c r="AA15" s="13">
        <f t="shared" si="15"/>
        <v>2.7094622759483118E-2</v>
      </c>
      <c r="AB15" s="13">
        <f t="shared" si="15"/>
        <v>9.1443500979751791E-3</v>
      </c>
      <c r="AC15" s="13">
        <f t="shared" si="15"/>
        <v>3.5387431360585725E-2</v>
      </c>
      <c r="AD15" s="13">
        <f t="shared" si="15"/>
        <v>-7.2164948453608251E-3</v>
      </c>
      <c r="AE15" s="13">
        <f t="shared" si="15"/>
        <v>-8.2564351627003405E-3</v>
      </c>
      <c r="AF15" s="13">
        <f t="shared" si="15"/>
        <v>-1.1931394481730051E-2</v>
      </c>
      <c r="AG15" s="13">
        <f t="shared" si="15"/>
        <v>2.010178117048346E-2</v>
      </c>
      <c r="AH15" s="13">
        <f t="shared" si="15"/>
        <v>1.9547719432732848E-2</v>
      </c>
      <c r="AI15" s="13">
        <f t="shared" si="15"/>
        <v>-9.705882352941177E-3</v>
      </c>
    </row>
    <row r="16" spans="1:35" x14ac:dyDescent="0.4">
      <c r="A16" s="14" t="s">
        <v>27</v>
      </c>
      <c r="B16" s="15">
        <v>5834</v>
      </c>
      <c r="C16" s="15">
        <f>I16-D16</f>
        <v>7018</v>
      </c>
      <c r="D16" s="15">
        <v>5715</v>
      </c>
      <c r="E16" s="15">
        <f>J16-F16</f>
        <v>6981</v>
      </c>
      <c r="F16" s="15">
        <v>5546</v>
      </c>
      <c r="G16" s="15">
        <f>K16-H16</f>
        <v>7084</v>
      </c>
      <c r="H16" s="15">
        <v>5733</v>
      </c>
      <c r="I16" s="15">
        <v>12733</v>
      </c>
      <c r="J16" s="15">
        <v>12527</v>
      </c>
      <c r="K16" s="15">
        <v>12817</v>
      </c>
      <c r="M16" t="s">
        <v>3</v>
      </c>
      <c r="N16" s="1">
        <v>567</v>
      </c>
      <c r="O16" s="1">
        <f>U16-P16</f>
        <v>464</v>
      </c>
      <c r="P16" s="1">
        <v>408</v>
      </c>
      <c r="Q16" s="1">
        <f>V16-R16</f>
        <v>210</v>
      </c>
      <c r="R16" s="1">
        <v>155</v>
      </c>
      <c r="S16" s="1">
        <f>W16-T16</f>
        <v>133</v>
      </c>
      <c r="T16" s="1">
        <v>103</v>
      </c>
      <c r="U16" s="1">
        <v>872</v>
      </c>
      <c r="V16" s="1">
        <v>365</v>
      </c>
      <c r="W16" s="1">
        <v>236</v>
      </c>
      <c r="Y16" t="s">
        <v>32</v>
      </c>
      <c r="Z16" s="5">
        <f t="shared" si="15"/>
        <v>0.429902755267423</v>
      </c>
      <c r="AA16" s="5">
        <f t="shared" si="15"/>
        <v>0.40783132530120481</v>
      </c>
      <c r="AB16" s="5">
        <f t="shared" si="15"/>
        <v>0.40563821456538762</v>
      </c>
      <c r="AC16" s="5">
        <f t="shared" si="15"/>
        <v>0.4631633178773828</v>
      </c>
      <c r="AD16" s="5">
        <f t="shared" si="15"/>
        <v>0.45124367158265466</v>
      </c>
      <c r="AE16" s="5">
        <f t="shared" si="15"/>
        <v>0.43416262135922329</v>
      </c>
      <c r="AF16" s="5">
        <f t="shared" si="15"/>
        <v>0.42244350823439297</v>
      </c>
      <c r="AG16" s="5">
        <f t="shared" si="15"/>
        <v>0.40687776642832824</v>
      </c>
      <c r="AH16" s="5">
        <f t="shared" si="15"/>
        <v>0.45793941732587307</v>
      </c>
      <c r="AI16" s="5">
        <f t="shared" si="15"/>
        <v>0.42898256306077537</v>
      </c>
    </row>
    <row r="17" spans="1:35" x14ac:dyDescent="0.4">
      <c r="A17" t="s">
        <v>28</v>
      </c>
      <c r="B17" s="1">
        <v>7574.73</v>
      </c>
      <c r="C17" s="1">
        <v>7574.2179999999998</v>
      </c>
      <c r="D17" s="1">
        <v>7573.826</v>
      </c>
      <c r="E17" s="1">
        <f>J17*2-F17</f>
        <v>7577.4739999999993</v>
      </c>
      <c r="F17" s="1">
        <v>7574.9340000000002</v>
      </c>
      <c r="G17" s="1">
        <f>K17*2-H17</f>
        <v>7572.7060000000001</v>
      </c>
      <c r="H17" s="1">
        <v>7573.0439999999999</v>
      </c>
      <c r="I17" s="1">
        <v>7574.2179999999998</v>
      </c>
      <c r="J17" s="1">
        <v>7576.2039999999997</v>
      </c>
      <c r="K17" s="1">
        <v>7572.875</v>
      </c>
      <c r="M17" s="2" t="s">
        <v>34</v>
      </c>
      <c r="N17" s="3">
        <v>-942</v>
      </c>
      <c r="O17" s="3">
        <f>U17-P17</f>
        <v>-2024</v>
      </c>
      <c r="P17" s="3">
        <v>-903</v>
      </c>
      <c r="Q17" s="3">
        <f>V17-R17</f>
        <v>-868</v>
      </c>
      <c r="R17" s="3">
        <v>-478</v>
      </c>
      <c r="S17" s="3">
        <f>W17-T17</f>
        <v>-475</v>
      </c>
      <c r="T17" s="3">
        <v>-425</v>
      </c>
      <c r="U17" s="3">
        <v>-2927</v>
      </c>
      <c r="V17" s="3">
        <v>-1346</v>
      </c>
      <c r="W17" s="3">
        <v>-900</v>
      </c>
      <c r="Y17" t="s">
        <v>33</v>
      </c>
      <c r="Z17" s="5" t="e">
        <f>Z8/N14</f>
        <v>#DIV/0!</v>
      </c>
      <c r="AA17" s="5">
        <f>AA8/O14</f>
        <v>0.19584690553745929</v>
      </c>
      <c r="AB17" s="5" t="e">
        <f>AB8/P14</f>
        <v>#DIV/0!</v>
      </c>
      <c r="AC17" s="5">
        <f>AC8/Q14</f>
        <v>0.26893353941267389</v>
      </c>
      <c r="AD17" s="6" t="s">
        <v>40</v>
      </c>
      <c r="AE17" s="6" t="s">
        <v>40</v>
      </c>
      <c r="AF17" s="6" t="s">
        <v>40</v>
      </c>
      <c r="AG17" s="5">
        <f>AG8/U14</f>
        <v>0.19584690553745929</v>
      </c>
      <c r="AH17" s="5">
        <f>AH8/V14</f>
        <v>0.26893353941267389</v>
      </c>
      <c r="AI17" s="6" t="s">
        <v>40</v>
      </c>
    </row>
    <row r="18" spans="1:35" x14ac:dyDescent="0.4">
      <c r="A18" t="s">
        <v>11</v>
      </c>
      <c r="B18" s="4">
        <f t="shared" ref="B18:G18" si="16">B14/B17</f>
        <v>0.25215420219598589</v>
      </c>
      <c r="C18" s="4">
        <f t="shared" si="16"/>
        <v>0.38393402460821696</v>
      </c>
      <c r="D18" s="4">
        <f t="shared" si="16"/>
        <v>0.25086396228273533</v>
      </c>
      <c r="E18" s="4">
        <f t="shared" si="16"/>
        <v>0.44935818981365033</v>
      </c>
      <c r="F18" s="4">
        <f t="shared" si="16"/>
        <v>0.25056323923086327</v>
      </c>
      <c r="G18" s="4">
        <f t="shared" si="16"/>
        <v>0.4034225018111095</v>
      </c>
      <c r="H18" s="4">
        <f t="shared" ref="H18:K18" si="17">H14/H17</f>
        <v>0.28548625889404577</v>
      </c>
      <c r="I18" s="4">
        <f>I14/I17</f>
        <v>0.63478500354756096</v>
      </c>
      <c r="J18" s="4">
        <f>J14/J17</f>
        <v>0.69995475306631139</v>
      </c>
      <c r="K18" s="4">
        <f t="shared" si="17"/>
        <v>0.68890612878200153</v>
      </c>
      <c r="M18" s="16" t="s">
        <v>35</v>
      </c>
      <c r="N18" s="17">
        <f t="shared" ref="N18:S18" si="18">N8+N12+N14+N16+N17</f>
        <v>16157</v>
      </c>
      <c r="O18" s="17">
        <f t="shared" si="18"/>
        <v>19105</v>
      </c>
      <c r="P18" s="17">
        <f t="shared" si="18"/>
        <v>15643</v>
      </c>
      <c r="Q18" s="17">
        <f t="shared" si="18"/>
        <v>17783</v>
      </c>
      <c r="R18" s="17">
        <f t="shared" si="18"/>
        <v>14606</v>
      </c>
      <c r="S18" s="17">
        <f t="shared" si="18"/>
        <v>17994</v>
      </c>
      <c r="T18" s="17">
        <f t="shared" ref="T18:W18" si="19">T8+T12+T14+T16+T17</f>
        <v>15109</v>
      </c>
      <c r="U18" s="17">
        <f>U8+U12+U14+U16+U17</f>
        <v>33961</v>
      </c>
      <c r="V18" s="17">
        <f>V8+V12+V14+V16+V17</f>
        <v>32389</v>
      </c>
      <c r="W18" s="17">
        <f t="shared" si="19"/>
        <v>33103</v>
      </c>
      <c r="Y18" t="s">
        <v>38</v>
      </c>
      <c r="Z18" s="5">
        <f t="shared" ref="Z18:AI18" si="20">Z10/N18</f>
        <v>0.36108188401312125</v>
      </c>
      <c r="AA18" s="5">
        <f t="shared" si="20"/>
        <v>0.3673383930908139</v>
      </c>
      <c r="AB18" s="5">
        <f t="shared" si="20"/>
        <v>0.36533912932301987</v>
      </c>
      <c r="AC18" s="5">
        <f t="shared" si="20"/>
        <v>0.39256593375695892</v>
      </c>
      <c r="AD18" s="5">
        <f t="shared" si="20"/>
        <v>0.37970696973846363</v>
      </c>
      <c r="AE18" s="5">
        <f t="shared" si="20"/>
        <v>0.3936867844837168</v>
      </c>
      <c r="AF18" s="5">
        <f t="shared" si="20"/>
        <v>0.37944271626183068</v>
      </c>
      <c r="AG18" s="5">
        <f t="shared" si="20"/>
        <v>0.37493006684137686</v>
      </c>
      <c r="AH18" s="5">
        <f t="shared" si="20"/>
        <v>0.38676711229120997</v>
      </c>
      <c r="AI18" s="5">
        <f t="shared" si="20"/>
        <v>0.38718545146965533</v>
      </c>
    </row>
    <row r="19" spans="1:35" x14ac:dyDescent="0.4">
      <c r="A19" t="s">
        <v>12</v>
      </c>
      <c r="B19">
        <v>0.31359999999999999</v>
      </c>
      <c r="C19">
        <v>0.42070000000000002</v>
      </c>
      <c r="D19">
        <v>0.307</v>
      </c>
      <c r="E19">
        <v>0.40970000000000001</v>
      </c>
      <c r="F19">
        <v>0.30099999999999999</v>
      </c>
      <c r="G19">
        <v>0.4037</v>
      </c>
      <c r="H19">
        <v>0.30009999999999998</v>
      </c>
      <c r="I19">
        <f>C19+D19</f>
        <v>0.72770000000000001</v>
      </c>
      <c r="J19">
        <f>F19+E19</f>
        <v>0.7107</v>
      </c>
      <c r="K19">
        <f>H19+G19</f>
        <v>0.70379999999999998</v>
      </c>
      <c r="M19" t="s">
        <v>1</v>
      </c>
      <c r="N19" s="1">
        <v>-8134</v>
      </c>
      <c r="O19" s="1">
        <f>U19-P19</f>
        <v>-9179</v>
      </c>
      <c r="P19" s="1">
        <v>-7550</v>
      </c>
      <c r="Q19" s="1">
        <f>V19-R19</f>
        <v>-8762</v>
      </c>
      <c r="R19" s="1">
        <v>-6941</v>
      </c>
      <c r="S19" s="1">
        <f>W19-T19</f>
        <v>-8837</v>
      </c>
      <c r="T19" s="1">
        <v>-6950</v>
      </c>
      <c r="U19" s="1">
        <v>-16729</v>
      </c>
      <c r="V19" s="1">
        <v>-15703</v>
      </c>
      <c r="W19" s="1">
        <v>-15787</v>
      </c>
      <c r="Y19" s="12" t="s">
        <v>39</v>
      </c>
      <c r="Z19" s="13">
        <f t="shared" ref="Z19:AI19" si="21">(Z10-Z6)/(N18-N11)</f>
        <v>0.39137745493677695</v>
      </c>
      <c r="AA19" s="13">
        <f t="shared" si="21"/>
        <v>0.41619777325511792</v>
      </c>
      <c r="AB19" s="13">
        <f t="shared" si="21"/>
        <v>0.40398242630385489</v>
      </c>
      <c r="AC19" s="13">
        <f t="shared" si="21"/>
        <v>0.42882804757185333</v>
      </c>
      <c r="AD19" s="13">
        <f t="shared" si="21"/>
        <v>0.40723085948958637</v>
      </c>
      <c r="AE19" s="13">
        <f t="shared" si="21"/>
        <v>0.44562284279887043</v>
      </c>
      <c r="AF19" s="13">
        <f t="shared" si="21"/>
        <v>0.41756246368390471</v>
      </c>
      <c r="AG19" s="13">
        <f t="shared" si="21"/>
        <v>0.42136458992374548</v>
      </c>
      <c r="AH19" s="13">
        <f t="shared" si="21"/>
        <v>0.41893888515782407</v>
      </c>
      <c r="AI19" s="13">
        <f t="shared" si="21"/>
        <v>0.43261623405043259</v>
      </c>
    </row>
    <row r="20" spans="1:35" x14ac:dyDescent="0.4">
      <c r="M20" s="2" t="s">
        <v>50</v>
      </c>
      <c r="N20" s="3">
        <v>-2189</v>
      </c>
      <c r="O20" s="3">
        <f>U20-P20</f>
        <v>-2121</v>
      </c>
      <c r="P20" s="3">
        <v>-2378</v>
      </c>
      <c r="Q20" s="3">
        <f>V20-R20</f>
        <v>-2040</v>
      </c>
      <c r="R20" s="3">
        <v>-2119</v>
      </c>
      <c r="S20" s="3">
        <f>W20-T20</f>
        <v>-2073</v>
      </c>
      <c r="T20" s="3">
        <v>-2426</v>
      </c>
      <c r="U20" s="3">
        <v>-4499</v>
      </c>
      <c r="V20" s="3">
        <v>-4159</v>
      </c>
      <c r="W20" s="3">
        <v>-4499</v>
      </c>
    </row>
    <row r="21" spans="1:35" x14ac:dyDescent="0.4">
      <c r="A21" s="46" t="s">
        <v>74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M21" s="14" t="s">
        <v>27</v>
      </c>
      <c r="N21" s="15">
        <f t="shared" ref="N21:S21" si="22">N18+N19+N20</f>
        <v>5834</v>
      </c>
      <c r="O21" s="15">
        <f t="shared" si="22"/>
        <v>7805</v>
      </c>
      <c r="P21" s="15">
        <f t="shared" si="22"/>
        <v>5715</v>
      </c>
      <c r="Q21" s="15">
        <f t="shared" si="22"/>
        <v>6981</v>
      </c>
      <c r="R21" s="15">
        <f t="shared" si="22"/>
        <v>5546</v>
      </c>
      <c r="S21" s="15">
        <f t="shared" si="22"/>
        <v>7084</v>
      </c>
      <c r="T21" s="15">
        <f t="shared" ref="T21:W21" si="23">T18+T19+T20</f>
        <v>5733</v>
      </c>
      <c r="U21" s="15">
        <f>U18+U19+U20</f>
        <v>12733</v>
      </c>
      <c r="V21" s="15">
        <f>V18+V19+V20</f>
        <v>12527</v>
      </c>
      <c r="W21" s="15">
        <f t="shared" si="23"/>
        <v>12817</v>
      </c>
      <c r="Y21" t="s">
        <v>80</v>
      </c>
      <c r="Z21" s="1">
        <v>187</v>
      </c>
      <c r="AA21" s="1"/>
      <c r="AB21" s="1">
        <v>187</v>
      </c>
      <c r="AC21" s="1"/>
      <c r="AD21" s="1">
        <v>181</v>
      </c>
      <c r="AG21" s="1">
        <v>187</v>
      </c>
      <c r="AH21" s="1">
        <v>184</v>
      </c>
    </row>
    <row r="22" spans="1:35" x14ac:dyDescent="0.4">
      <c r="A22" t="s">
        <v>19</v>
      </c>
      <c r="B22" s="1">
        <v>99431</v>
      </c>
      <c r="C22" s="1">
        <f>I22</f>
        <v>98477</v>
      </c>
      <c r="D22" s="1">
        <v>95203</v>
      </c>
      <c r="E22" s="1">
        <v>93434</v>
      </c>
      <c r="F22" s="1">
        <v>90967</v>
      </c>
      <c r="G22" s="1">
        <v>89848</v>
      </c>
      <c r="H22" s="1">
        <v>87947</v>
      </c>
      <c r="I22" s="1">
        <v>98477</v>
      </c>
      <c r="J22" s="1">
        <v>93434</v>
      </c>
      <c r="K22" s="1">
        <v>89848</v>
      </c>
      <c r="M22" s="32" t="s">
        <v>51</v>
      </c>
      <c r="N22" s="33">
        <v>-2825</v>
      </c>
      <c r="O22" s="33">
        <f>U22-P22</f>
        <v>-2901</v>
      </c>
      <c r="P22" s="33">
        <v>-2751</v>
      </c>
      <c r="Q22" s="33">
        <f>V22-R22</f>
        <v>-2850</v>
      </c>
      <c r="R22" s="33">
        <v>-2491</v>
      </c>
      <c r="S22" s="33">
        <f>W22-T22</f>
        <v>-2750</v>
      </c>
      <c r="T22" s="33">
        <v>-2371</v>
      </c>
      <c r="U22" s="33">
        <v>-5652</v>
      </c>
      <c r="V22" s="33">
        <v>-5341</v>
      </c>
      <c r="W22" s="33">
        <v>-5121</v>
      </c>
      <c r="Y22" t="s">
        <v>81</v>
      </c>
      <c r="Z22" s="1">
        <v>1378</v>
      </c>
      <c r="AA22" s="1"/>
      <c r="AB22" s="1">
        <v>1352</v>
      </c>
      <c r="AC22" s="1"/>
      <c r="AD22" s="1">
        <v>1348</v>
      </c>
      <c r="AG22" s="1">
        <v>1373</v>
      </c>
      <c r="AH22" s="1">
        <v>1348</v>
      </c>
    </row>
    <row r="23" spans="1:35" x14ac:dyDescent="0.4">
      <c r="A23" s="2" t="s">
        <v>20</v>
      </c>
      <c r="B23" s="3">
        <v>10485</v>
      </c>
      <c r="C23" s="3">
        <f>I23</f>
        <v>11135</v>
      </c>
      <c r="D23" s="3">
        <v>9082</v>
      </c>
      <c r="E23" s="3">
        <v>9737</v>
      </c>
      <c r="F23" s="3">
        <v>9299</v>
      </c>
      <c r="G23" s="3">
        <v>9921</v>
      </c>
      <c r="H23" s="3">
        <v>10006</v>
      </c>
      <c r="I23" s="3">
        <v>11135</v>
      </c>
      <c r="J23" s="3">
        <v>9737</v>
      </c>
      <c r="K23" s="3">
        <v>9921</v>
      </c>
      <c r="M23" t="s">
        <v>41</v>
      </c>
      <c r="N23" s="1">
        <v>0</v>
      </c>
      <c r="O23" s="1">
        <f>U23-P23</f>
        <v>22</v>
      </c>
      <c r="P23" s="1">
        <v>2</v>
      </c>
      <c r="Q23" s="1">
        <f>V23-R23</f>
        <v>0</v>
      </c>
      <c r="R23" s="1">
        <v>2</v>
      </c>
      <c r="S23" s="1">
        <f>W23-T23</f>
        <v>-3</v>
      </c>
      <c r="T23" s="1">
        <v>1</v>
      </c>
      <c r="U23" s="1">
        <v>24</v>
      </c>
      <c r="V23" s="1">
        <v>2</v>
      </c>
      <c r="W23" s="1">
        <v>-2</v>
      </c>
    </row>
    <row r="24" spans="1:35" x14ac:dyDescent="0.4">
      <c r="A24" t="s">
        <v>13</v>
      </c>
      <c r="B24" s="1">
        <f t="shared" ref="B24:G24" si="24">B22+B23</f>
        <v>109916</v>
      </c>
      <c r="C24" s="1">
        <f t="shared" si="24"/>
        <v>109612</v>
      </c>
      <c r="D24" s="1">
        <f t="shared" si="24"/>
        <v>104285</v>
      </c>
      <c r="E24" s="1">
        <f t="shared" si="24"/>
        <v>103171</v>
      </c>
      <c r="F24" s="1">
        <f t="shared" si="24"/>
        <v>100266</v>
      </c>
      <c r="G24" s="1">
        <f t="shared" si="24"/>
        <v>99769</v>
      </c>
      <c r="H24" s="1">
        <f t="shared" ref="H24:K24" si="25">H22+H23</f>
        <v>97953</v>
      </c>
      <c r="I24" s="1">
        <f>I22+I23</f>
        <v>109612</v>
      </c>
      <c r="J24" s="1">
        <f>J22+J23</f>
        <v>103171</v>
      </c>
      <c r="K24" s="1">
        <f t="shared" si="25"/>
        <v>99769</v>
      </c>
      <c r="M24" t="s">
        <v>3</v>
      </c>
      <c r="N24" s="1">
        <v>3</v>
      </c>
      <c r="O24" s="1">
        <f>U24-P24</f>
        <v>-8</v>
      </c>
      <c r="P24" s="1">
        <v>0</v>
      </c>
      <c r="Q24" s="1">
        <f>V24-R24</f>
        <v>411</v>
      </c>
      <c r="R24" s="1">
        <v>-50</v>
      </c>
      <c r="S24" s="1">
        <f>W24-T24</f>
        <v>2</v>
      </c>
      <c r="T24" s="1">
        <v>1</v>
      </c>
      <c r="U24" s="1">
        <v>-8</v>
      </c>
      <c r="V24" s="1">
        <v>361</v>
      </c>
      <c r="W24" s="1">
        <v>3</v>
      </c>
    </row>
    <row r="25" spans="1:35" x14ac:dyDescent="0.4">
      <c r="A25" s="12" t="s">
        <v>54</v>
      </c>
      <c r="B25" s="22">
        <v>49805</v>
      </c>
      <c r="C25" s="22">
        <f>I25</f>
        <v>49809</v>
      </c>
      <c r="D25" s="22">
        <v>49813</v>
      </c>
      <c r="E25" s="22">
        <v>49816</v>
      </c>
      <c r="F25" s="22">
        <v>49806</v>
      </c>
      <c r="G25" s="22">
        <v>49814</v>
      </c>
      <c r="H25" s="22">
        <v>49810</v>
      </c>
      <c r="I25" s="22">
        <v>49809</v>
      </c>
      <c r="J25" s="22">
        <v>49816</v>
      </c>
      <c r="K25" s="22">
        <v>49814</v>
      </c>
      <c r="M25" s="20" t="s">
        <v>52</v>
      </c>
      <c r="N25" s="21">
        <v>-627</v>
      </c>
      <c r="O25" s="21">
        <f>U25-P25</f>
        <v>-587</v>
      </c>
      <c r="P25" s="21">
        <v>-561</v>
      </c>
      <c r="Q25" s="21">
        <f>V25-R25</f>
        <v>-638</v>
      </c>
      <c r="R25" s="21">
        <v>-658</v>
      </c>
      <c r="S25" s="21">
        <f>W25-T25</f>
        <v>-710</v>
      </c>
      <c r="T25" s="21">
        <v>-662</v>
      </c>
      <c r="U25" s="21">
        <v>-1148</v>
      </c>
      <c r="V25" s="21">
        <v>-1296</v>
      </c>
      <c r="W25" s="21">
        <v>-1372</v>
      </c>
    </row>
    <row r="26" spans="1:35" x14ac:dyDescent="0.4">
      <c r="A26" s="12" t="s">
        <v>55</v>
      </c>
      <c r="B26" s="22">
        <v>15568</v>
      </c>
      <c r="C26" s="22">
        <f>I26</f>
        <v>15617</v>
      </c>
      <c r="D26" s="22">
        <v>12819</v>
      </c>
      <c r="E26" s="22">
        <v>11408</v>
      </c>
      <c r="F26" s="22">
        <v>10725</v>
      </c>
      <c r="G26" s="22">
        <v>10118</v>
      </c>
      <c r="H26" s="22">
        <v>8995</v>
      </c>
      <c r="I26" s="22">
        <v>15617</v>
      </c>
      <c r="J26" s="22">
        <v>11408</v>
      </c>
      <c r="K26" s="22">
        <v>10118</v>
      </c>
      <c r="M26" s="2" t="s">
        <v>42</v>
      </c>
      <c r="N26" s="3">
        <v>-38</v>
      </c>
      <c r="O26" s="3">
        <f>U26-P26</f>
        <v>-67</v>
      </c>
      <c r="P26" s="3">
        <v>-63</v>
      </c>
      <c r="Q26" s="3">
        <f>V26-R26</f>
        <v>-49</v>
      </c>
      <c r="R26" s="3">
        <v>-30</v>
      </c>
      <c r="S26" s="3">
        <f>W26-T26</f>
        <v>-28</v>
      </c>
      <c r="T26" s="3">
        <v>-23</v>
      </c>
      <c r="U26" s="3">
        <v>-130</v>
      </c>
      <c r="V26" s="3">
        <v>-79</v>
      </c>
      <c r="W26" s="3">
        <v>-51</v>
      </c>
    </row>
    <row r="27" spans="1:35" x14ac:dyDescent="0.4">
      <c r="A27" s="12"/>
      <c r="B27" s="22"/>
      <c r="C27" s="22"/>
      <c r="D27" s="22"/>
      <c r="E27" s="22"/>
      <c r="F27" s="22"/>
      <c r="G27" s="22"/>
      <c r="H27" s="22"/>
      <c r="I27" s="22"/>
      <c r="J27" s="22"/>
      <c r="K27" s="22"/>
      <c r="M27" s="18" t="s">
        <v>44</v>
      </c>
      <c r="N27" s="19">
        <f t="shared" ref="N27:S27" si="26">SUM(N21:N26)</f>
        <v>2347</v>
      </c>
      <c r="O27" s="19">
        <f t="shared" si="26"/>
        <v>4264</v>
      </c>
      <c r="P27" s="19">
        <f t="shared" si="26"/>
        <v>2342</v>
      </c>
      <c r="Q27" s="19">
        <f t="shared" si="26"/>
        <v>3855</v>
      </c>
      <c r="R27" s="19">
        <f t="shared" si="26"/>
        <v>2319</v>
      </c>
      <c r="S27" s="19">
        <f t="shared" si="26"/>
        <v>3595</v>
      </c>
      <c r="T27" s="19">
        <f t="shared" ref="T27:W27" si="27">SUM(T21:T26)</f>
        <v>2679</v>
      </c>
      <c r="U27" s="19">
        <f>SUM(U21:U26)</f>
        <v>5819</v>
      </c>
      <c r="V27" s="19">
        <f>SUM(V21:V26)</f>
        <v>6174</v>
      </c>
      <c r="W27" s="19">
        <f t="shared" si="27"/>
        <v>6274</v>
      </c>
    </row>
    <row r="28" spans="1:35" x14ac:dyDescent="0.4">
      <c r="A28" t="s">
        <v>21</v>
      </c>
      <c r="B28" s="1">
        <v>52473</v>
      </c>
      <c r="C28" s="1">
        <f>I28</f>
        <v>56212</v>
      </c>
      <c r="D28" s="1">
        <v>53425</v>
      </c>
      <c r="E28" s="1">
        <v>49902</v>
      </c>
      <c r="F28" s="1">
        <v>47695</v>
      </c>
      <c r="G28" s="1">
        <v>48708</v>
      </c>
      <c r="H28" s="1">
        <v>47806</v>
      </c>
      <c r="I28" s="1">
        <v>56212</v>
      </c>
      <c r="J28" s="1">
        <v>49902</v>
      </c>
      <c r="K28" s="1">
        <v>48708</v>
      </c>
    </row>
    <row r="29" spans="1:35" x14ac:dyDescent="0.4">
      <c r="A29" s="2" t="s">
        <v>22</v>
      </c>
      <c r="B29" s="3">
        <v>21483</v>
      </c>
      <c r="C29" s="3">
        <f>I29</f>
        <v>16203</v>
      </c>
      <c r="D29" s="3">
        <v>14269</v>
      </c>
      <c r="E29" s="3">
        <v>15369</v>
      </c>
      <c r="F29" s="3">
        <v>15738</v>
      </c>
      <c r="G29" s="3">
        <v>13091</v>
      </c>
      <c r="H29" s="3">
        <v>13170</v>
      </c>
      <c r="I29" s="3">
        <v>16203</v>
      </c>
      <c r="J29" s="3">
        <v>15369</v>
      </c>
      <c r="K29" s="3">
        <v>13091</v>
      </c>
    </row>
    <row r="30" spans="1:35" x14ac:dyDescent="0.4">
      <c r="A30" t="s">
        <v>14</v>
      </c>
      <c r="B30" s="1">
        <f t="shared" ref="B30:G30" si="28">B28+B29</f>
        <v>73956</v>
      </c>
      <c r="C30" s="1">
        <f t="shared" si="28"/>
        <v>72415</v>
      </c>
      <c r="D30" s="1">
        <f t="shared" si="28"/>
        <v>67694</v>
      </c>
      <c r="E30" s="1">
        <f t="shared" si="28"/>
        <v>65271</v>
      </c>
      <c r="F30" s="1">
        <f t="shared" si="28"/>
        <v>63433</v>
      </c>
      <c r="G30" s="1">
        <f t="shared" si="28"/>
        <v>61799</v>
      </c>
      <c r="H30" s="1">
        <f t="shared" ref="H30:K30" si="29">H28+H29</f>
        <v>60976</v>
      </c>
      <c r="I30" s="1">
        <f>I28+I29</f>
        <v>72415</v>
      </c>
      <c r="J30" s="1">
        <f>J28+J29</f>
        <v>65271</v>
      </c>
      <c r="K30" s="1">
        <f t="shared" si="29"/>
        <v>61799</v>
      </c>
    </row>
    <row r="31" spans="1:35" x14ac:dyDescent="0.4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35" x14ac:dyDescent="0.4">
      <c r="A32" t="s">
        <v>25</v>
      </c>
      <c r="B32" s="1">
        <f t="shared" ref="B32:G32" si="30">B24-B30</f>
        <v>35960</v>
      </c>
      <c r="C32" s="1">
        <f t="shared" si="30"/>
        <v>37197</v>
      </c>
      <c r="D32" s="1">
        <f t="shared" si="30"/>
        <v>36591</v>
      </c>
      <c r="E32" s="1">
        <f t="shared" si="30"/>
        <v>37900</v>
      </c>
      <c r="F32" s="1">
        <f t="shared" si="30"/>
        <v>36833</v>
      </c>
      <c r="G32" s="1">
        <f t="shared" si="30"/>
        <v>37970</v>
      </c>
      <c r="H32" s="1">
        <f t="shared" ref="H32:K32" si="31">H24-H30</f>
        <v>36977</v>
      </c>
      <c r="I32" s="1">
        <f>I24-I30</f>
        <v>37197</v>
      </c>
      <c r="J32" s="1">
        <f>J24-J30</f>
        <v>37900</v>
      </c>
      <c r="K32" s="1">
        <f t="shared" si="31"/>
        <v>37970</v>
      </c>
    </row>
    <row r="33" spans="1:11" x14ac:dyDescent="0.4">
      <c r="A33" s="2" t="s">
        <v>26</v>
      </c>
      <c r="B33" s="3">
        <v>49</v>
      </c>
      <c r="C33" s="3">
        <f>I33</f>
        <v>56</v>
      </c>
      <c r="D33" s="3">
        <v>54</v>
      </c>
      <c r="E33" s="3">
        <v>62</v>
      </c>
      <c r="F33" s="3">
        <v>54</v>
      </c>
      <c r="G33" s="3">
        <v>58</v>
      </c>
      <c r="H33" s="3">
        <v>8</v>
      </c>
      <c r="I33" s="3">
        <v>56</v>
      </c>
      <c r="J33" s="3">
        <v>62</v>
      </c>
      <c r="K33" s="3">
        <v>58</v>
      </c>
    </row>
    <row r="34" spans="1:11" x14ac:dyDescent="0.4">
      <c r="A34" t="s">
        <v>15</v>
      </c>
      <c r="B34" s="1">
        <f t="shared" ref="B34:G34" si="32">B32-B33</f>
        <v>35911</v>
      </c>
      <c r="C34" s="1">
        <f t="shared" si="32"/>
        <v>37141</v>
      </c>
      <c r="D34" s="1">
        <f t="shared" si="32"/>
        <v>36537</v>
      </c>
      <c r="E34" s="1">
        <f t="shared" si="32"/>
        <v>37838</v>
      </c>
      <c r="F34" s="1">
        <f t="shared" si="32"/>
        <v>36779</v>
      </c>
      <c r="G34" s="1">
        <f t="shared" si="32"/>
        <v>37912</v>
      </c>
      <c r="H34" s="1">
        <f t="shared" ref="H34:K34" si="33">H32-H33</f>
        <v>36969</v>
      </c>
      <c r="I34" s="1">
        <f>I32-I33</f>
        <v>37141</v>
      </c>
      <c r="J34" s="1">
        <f>J32-J33</f>
        <v>37838</v>
      </c>
      <c r="K34" s="1">
        <f t="shared" si="33"/>
        <v>37912</v>
      </c>
    </row>
    <row r="35" spans="1:11" x14ac:dyDescent="0.4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4">
      <c r="A36" t="s">
        <v>16</v>
      </c>
      <c r="B36" s="1">
        <f>471+1568</f>
        <v>2039</v>
      </c>
      <c r="C36" s="1">
        <f>I36</f>
        <v>2883</v>
      </c>
      <c r="D36" s="1">
        <f>468+1681</f>
        <v>2149</v>
      </c>
      <c r="E36" s="1">
        <f>538+2092</f>
        <v>2630</v>
      </c>
      <c r="F36" s="1">
        <f>1823+508</f>
        <v>2331</v>
      </c>
      <c r="G36" s="1">
        <f>2417+486</f>
        <v>2903</v>
      </c>
      <c r="H36" s="1">
        <f>1771+389</f>
        <v>2160</v>
      </c>
      <c r="I36" s="1">
        <f>472+2411</f>
        <v>2883</v>
      </c>
      <c r="J36" s="1">
        <f>538+2092</f>
        <v>2630</v>
      </c>
      <c r="K36" s="1">
        <f>2417+486</f>
        <v>2903</v>
      </c>
    </row>
    <row r="37" spans="1:11" x14ac:dyDescent="0.4">
      <c r="A37" s="2" t="s">
        <v>17</v>
      </c>
      <c r="B37" s="3">
        <f>3965+40229</f>
        <v>44194</v>
      </c>
      <c r="C37" s="3">
        <f>I37</f>
        <v>43689</v>
      </c>
      <c r="D37" s="3">
        <f>43059+60</f>
        <v>43119</v>
      </c>
      <c r="E37" s="3">
        <f>40719+1552</f>
        <v>42271</v>
      </c>
      <c r="F37" s="3">
        <f>2256+38851</f>
        <v>41107</v>
      </c>
      <c r="G37" s="3">
        <v>40358</v>
      </c>
      <c r="H37" s="3">
        <v>40126</v>
      </c>
      <c r="I37" s="3">
        <f>43628+61</f>
        <v>43689</v>
      </c>
      <c r="J37" s="3">
        <f>40719+1552</f>
        <v>42271</v>
      </c>
      <c r="K37" s="3">
        <v>40358</v>
      </c>
    </row>
    <row r="38" spans="1:11" x14ac:dyDescent="0.4">
      <c r="A38" t="s">
        <v>18</v>
      </c>
      <c r="B38" s="1">
        <f t="shared" ref="B38:G38" si="34">B37-B36</f>
        <v>42155</v>
      </c>
      <c r="C38" s="1">
        <f t="shared" si="34"/>
        <v>40806</v>
      </c>
      <c r="D38" s="1">
        <f t="shared" si="34"/>
        <v>40970</v>
      </c>
      <c r="E38" s="1">
        <f t="shared" si="34"/>
        <v>39641</v>
      </c>
      <c r="F38" s="1">
        <f t="shared" si="34"/>
        <v>38776</v>
      </c>
      <c r="G38" s="1">
        <f t="shared" si="34"/>
        <v>37455</v>
      </c>
      <c r="H38" s="1">
        <f t="shared" ref="H38:K38" si="35">H37-H36</f>
        <v>37966</v>
      </c>
      <c r="I38" s="1">
        <f>I37-I36</f>
        <v>40806</v>
      </c>
      <c r="J38" s="1">
        <f>J37-J36</f>
        <v>39641</v>
      </c>
      <c r="K38" s="1">
        <f t="shared" si="35"/>
        <v>37455</v>
      </c>
    </row>
    <row r="40" spans="1:11" x14ac:dyDescent="0.4">
      <c r="A40" t="s">
        <v>58</v>
      </c>
      <c r="B40" s="5">
        <f t="shared" ref="B40:G40" si="36">B38/B34</f>
        <v>1.173874300353652</v>
      </c>
      <c r="C40" s="5">
        <f t="shared" si="36"/>
        <v>1.098678010823618</v>
      </c>
      <c r="D40" s="5">
        <f t="shared" si="36"/>
        <v>1.1213290636888633</v>
      </c>
      <c r="E40" s="5">
        <f t="shared" si="36"/>
        <v>1.0476505100692426</v>
      </c>
      <c r="F40" s="5">
        <f t="shared" si="36"/>
        <v>1.0542972892139537</v>
      </c>
      <c r="G40" s="5">
        <f t="shared" si="36"/>
        <v>0.98794576914960963</v>
      </c>
      <c r="H40" s="5">
        <f t="shared" ref="H40:K40" si="37">H38/H34</f>
        <v>1.0269685412102032</v>
      </c>
      <c r="I40" s="5">
        <f>I38/I34</f>
        <v>1.098678010823618</v>
      </c>
      <c r="J40" s="5">
        <f>J38/J34</f>
        <v>1.0476505100692426</v>
      </c>
      <c r="K40" s="5">
        <f t="shared" si="37"/>
        <v>0.98794576914960963</v>
      </c>
    </row>
    <row r="41" spans="1:11" x14ac:dyDescent="0.4">
      <c r="A41" t="s">
        <v>57</v>
      </c>
      <c r="B41" s="5">
        <f t="shared" ref="B41:G41" si="38">B38/B24</f>
        <v>0.38352014265439061</v>
      </c>
      <c r="C41" s="5">
        <f t="shared" si="38"/>
        <v>0.37227675801919496</v>
      </c>
      <c r="D41" s="5">
        <f t="shared" si="38"/>
        <v>0.39286570455962028</v>
      </c>
      <c r="E41" s="5">
        <f t="shared" si="38"/>
        <v>0.38422618759147437</v>
      </c>
      <c r="F41" s="5">
        <f t="shared" si="38"/>
        <v>0.3867312947559492</v>
      </c>
      <c r="G41" s="5">
        <f t="shared" si="38"/>
        <v>0.37541721376379439</v>
      </c>
      <c r="H41" s="5">
        <f t="shared" ref="H41:K41" si="39">H38/H24</f>
        <v>0.38759405020775267</v>
      </c>
      <c r="I41" s="5">
        <f>I38/I24</f>
        <v>0.37227675801919496</v>
      </c>
      <c r="J41" s="5">
        <f>J38/J24</f>
        <v>0.38422618759147437</v>
      </c>
      <c r="K41" s="5">
        <f t="shared" si="39"/>
        <v>0.37541721376379439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</vt:lpstr>
      <vt:lpstr>6823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2021-08-08T17:06:53Z</dcterms:created>
  <dcterms:modified xsi:type="dcterms:W3CDTF">2022-08-17T05:33:15Z</dcterms:modified>
</cp:coreProperties>
</file>